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FE File Server\Projects\Active\VA\Staunton, City of\CAD_RMS Consulting\Operations\Deliverables\Functional Requirements Matrix\"/>
    </mc:Choice>
  </mc:AlternateContent>
  <xr:revisionPtr revIDLastSave="0" documentId="13_ncr:1_{B587C2FA-7FFB-4ED3-B3BF-AAA9B8D9FA96}" xr6:coauthVersionLast="47" xr6:coauthVersionMax="47" xr10:uidLastSave="{00000000-0000-0000-0000-000000000000}"/>
  <workbookProtection workbookAlgorithmName="SHA-512" workbookHashValue="NOpwtqOjO9hLgwj0bDkkftk+Eun0yyD+6PeW1bjeUEQMikCOu8drgGIejTWymIzw9b8NUfkhDdz3i3sldt2V3A==" workbookSaltValue="MSkl43FuBP3FzSDJ1T+BIw==" workbookSpinCount="100000" lockStructure="1"/>
  <bookViews>
    <workbookView xWindow="-108" yWindow="-108" windowWidth="23256" windowHeight="12456" tabRatio="500" firstSheet="3" activeTab="3" xr2:uid="{00000000-000D-0000-FFFF-FFFF00000000}"/>
  </bookViews>
  <sheets>
    <sheet name="Interface List" sheetId="1" state="hidden" r:id="rId1"/>
    <sheet name="Evaluation Overview" sheetId="2" state="hidden" r:id="rId2"/>
    <sheet name="Support Data" sheetId="3" state="hidden" r:id="rId3"/>
    <sheet name="Instructions" sheetId="4" r:id="rId4"/>
    <sheet name="911 ALI" sheetId="5" r:id="rId5"/>
    <sheet name="Accurint" sheetId="6" state="hidden" r:id="rId6"/>
    <sheet name="Arrest" sheetId="8" state="hidden" r:id="rId7"/>
    <sheet name="ASAP" sheetId="10" state="hidden" r:id="rId8"/>
    <sheet name="AXON" sheetId="11" r:id="rId9"/>
    <sheet name="BEAST" sheetId="12" state="hidden" r:id="rId10"/>
    <sheet name="CAMEO" sheetId="13" state="hidden" r:id="rId11"/>
    <sheet name="BI" sheetId="14" state="hidden" r:id="rId12"/>
    <sheet name="CAD2CAD" sheetId="15" r:id="rId13"/>
    <sheet name="CarFax" sheetId="16" r:id="rId14"/>
    <sheet name="Drones" sheetId="18" r:id="rId15"/>
    <sheet name="TREDS Crash" sheetId="19" r:id="rId16"/>
    <sheet name="Crash" sheetId="20" state="hidden" r:id="rId17"/>
    <sheet name="CryWolf" sheetId="21" state="hidden" r:id="rId18"/>
    <sheet name="Esri" sheetId="22" state="hidden" r:id="rId19"/>
    <sheet name="eCitation DMV " sheetId="23" r:id="rId20"/>
    <sheet name="eCitation Import" sheetId="24" state="hidden" r:id="rId21"/>
    <sheet name="EMD" sheetId="25" r:id="rId22"/>
    <sheet name="ePCR" sheetId="26" r:id="rId23"/>
    <sheet name="FRMS Export" sheetId="28" r:id="rId24"/>
    <sheet name="FRMS Import" sheetId="29" state="hidden" r:id="rId25"/>
    <sheet name="LiNX" sheetId="30" state="hidden" r:id="rId26"/>
    <sheet name="Livescan" sheetId="31" r:id="rId27"/>
    <sheet name="NDEx" sheetId="32" state="hidden" r:id="rId28"/>
    <sheet name="NG911" sheetId="33" r:id="rId29"/>
    <sheet name="NIBRS" sheetId="52" r:id="rId30"/>
    <sheet name="OffenderWatch Export" sheetId="36" state="hidden" r:id="rId31"/>
    <sheet name="OffenderWatch Query" sheetId="37" state="hidden" r:id="rId32"/>
    <sheet name="OnBase Export" sheetId="38" state="hidden" r:id="rId33"/>
    <sheet name="Paging" sheetId="39" r:id="rId34"/>
    <sheet name="Pictometry" sheetId="40" state="hidden" r:id="rId35"/>
    <sheet name="Prosecutor" sheetId="41" state="hidden" r:id="rId36"/>
    <sheet name="PulsePoint" sheetId="42" r:id="rId37"/>
    <sheet name="Radio Console" sheetId="43" r:id="rId38"/>
    <sheet name="Radio GPS" sheetId="44" r:id="rId39"/>
    <sheet name="RapidSOS" sheetId="45" r:id="rId40"/>
    <sheet name="Rip Run" sheetId="46" state="hidden" r:id="rId41"/>
    <sheet name="Smart911" sheetId="47" state="hidden" r:id="rId42"/>
    <sheet name="Traffic" sheetId="48" state="hidden" r:id="rId43"/>
    <sheet name="VCIN" sheetId="49" r:id="rId44"/>
    <sheet name="Removed" sheetId="50" state="hidden" r:id="rId45"/>
    <sheet name="Template radio buttons" sheetId="51" state="hidden" r:id="rId46"/>
  </sheets>
  <externalReferences>
    <externalReference r:id="rId47"/>
    <externalReference r:id="rId48"/>
    <externalReference r:id="rId49"/>
    <externalReference r:id="rId50"/>
    <externalReference r:id="rId51"/>
  </externalReferences>
  <definedNames>
    <definedName name="Availability" localSheetId="14">'Support Data'!$A$55:$A$58</definedName>
    <definedName name="Availability">'Support Data'!$A$55:$A$58</definedName>
    <definedName name="Availability1" localSheetId="14">'Support Data'!$A$55:$A$58</definedName>
    <definedName name="Availability1">'Support Data'!$A$55:$A$58</definedName>
    <definedName name="AvailabilityData" localSheetId="14">'Support Data'!$A$55:$B$58</definedName>
    <definedName name="AvailabilityData">'Support Data'!$A$55:$B$58</definedName>
    <definedName name="cad_dm_score" localSheetId="1">[1]cad!#REF!</definedName>
    <definedName name="cad_g_range" localSheetId="1">#REF!</definedName>
    <definedName name="cad_g_score" localSheetId="1">[1]cad!#REF!</definedName>
    <definedName name="cad_or_range" localSheetId="1">#REF!</definedName>
    <definedName name="cad_or_score" localSheetId="1">[1]cad!#REF!</definedName>
    <definedName name="cad_rpt_range" localSheetId="1">#REF!</definedName>
    <definedName name="cad_rpt_score" localSheetId="1">[1]cad!#REF!</definedName>
    <definedName name="cad_sc_range" localSheetId="1">#REF!</definedName>
    <definedName name="cad_sc_score" localSheetId="1">[1]cad!#REF!</definedName>
    <definedName name="cad_sec_range" localSheetId="1">#REF!</definedName>
    <definedName name="cad_sec_score" localSheetId="1">[1]cad!#REF!</definedName>
    <definedName name="common_b_range" localSheetId="1">#REF!</definedName>
    <definedName name="common_b_score" localSheetId="1">[1]system!#REF!</definedName>
    <definedName name="common_dm_range" localSheetId="1">[1]system!#REF!</definedName>
    <definedName name="common_dm_score" localSheetId="1">[1]system!#REF!</definedName>
    <definedName name="common_or_range" localSheetId="1">#REF!</definedName>
    <definedName name="common_or_score" localSheetId="1">[1]system!#REF!</definedName>
    <definedName name="common_rpt_range" localSheetId="1">[1]system!#REF!</definedName>
    <definedName name="common_rpt_score" localSheetId="1">[1]system!#REF!</definedName>
    <definedName name="common_sc_range" localSheetId="1">#REF!</definedName>
    <definedName name="common_sc_score" localSheetId="1">[1]system!#REF!</definedName>
    <definedName name="common_sec_range" localSheetId="1">#REF!</definedName>
    <definedName name="common_sec_score" localSheetId="1">[1]system!#REF!</definedName>
    <definedName name="Display_EMS" localSheetId="1">#REF!</definedName>
    <definedName name="Display_Field_Reporting" localSheetId="1">#REF!</definedName>
    <definedName name="Display_Supervisory" localSheetId="1">[2]CAD!#REF!</definedName>
    <definedName name="em_b_range" localSheetId="1">#REF!</definedName>
    <definedName name="em_b_score" localSheetId="1">'[1]equipment &amp; maintenance'!#REF!</definedName>
    <definedName name="EMS" localSheetId="1">#REF!</definedName>
    <definedName name="ems_b_range" localSheetId="1">#REF!</definedName>
    <definedName name="ems_b_score" localSheetId="1">'[1]ems rms'!#REF!</definedName>
    <definedName name="Field_Reporting" localSheetId="1">#REF!</definedName>
    <definedName name="frms_b_score" localSheetId="1">'[1]f rms'!#REF!</definedName>
    <definedName name="frms_g_range" localSheetId="1">'[3]fire rms general'!#REF!</definedName>
    <definedName name="frms_g_score" localSheetId="1">'[1]f rms'!#REF!</definedName>
    <definedName name="frms_mli_range" localSheetId="1">'[3]fire rms general'!#REF!</definedName>
    <definedName name="frms_mli_score" localSheetId="1">'[1]f rms'!#REF!</definedName>
    <definedName name="frms_mni_range" localSheetId="1">'[3]fire rms general'!#REF!</definedName>
    <definedName name="frms_mni_score" localSheetId="1">'[1]f rms'!#REF!</definedName>
    <definedName name="frms_mvi_range" localSheetId="1">'[3]fire rms general'!#REF!</definedName>
    <definedName name="frms_mvi_score" localSheetId="1">'[1]f rms'!#REF!</definedName>
    <definedName name="frms_rpt_range" localSheetId="1">'[3]fire rms general'!#REF!</definedName>
    <definedName name="frms_rpt_score" localSheetId="1">'[1]f rms'!#REF!</definedName>
    <definedName name="frms_sec_score" localSheetId="1">'[1]f rms'!#REF!</definedName>
    <definedName name="gis_b_range" localSheetId="1">#REF!</definedName>
    <definedName name="gis_b_score" localSheetId="1">[1]gis!#REF!</definedName>
    <definedName name="gis_or_range" localSheetId="1">#REF!</definedName>
    <definedName name="gis_or_score" localSheetId="1">[1]gis!#REF!</definedName>
    <definedName name="gis_rpt_range" localSheetId="1">#REF!</definedName>
    <definedName name="gis_rpt_score" localSheetId="1">[1]gis!#REF!</definedName>
    <definedName name="gis_sec_range" localSheetId="1">#REF!</definedName>
    <definedName name="gis_sec_score" localSheetId="1">[1]gis!#REF!</definedName>
    <definedName name="hydrants_b_range" localSheetId="1">#REF!</definedName>
    <definedName name="hydrants_b_score" localSheetId="1">[1]hydrants!#REF!</definedName>
    <definedName name="ID_Range_Field_Reporting" localSheetId="1">#REF!</definedName>
    <definedName name="inspections_b_range" localSheetId="1">#REF!</definedName>
    <definedName name="inspections_b_score" localSheetId="1">[1]inspections!#REF!</definedName>
    <definedName name="interfaces_or_range" localSheetId="1">#REF!</definedName>
    <definedName name="interfaces_or_score" localSheetId="1">[1]interfaces!#REF!</definedName>
    <definedName name="interfaces_sc_range" localSheetId="1">#REF!</definedName>
    <definedName name="interfaces_sc_score" localSheetId="1">[1]interfaces!#REF!</definedName>
    <definedName name="investigations_b_range" localSheetId="1">#REF!</definedName>
    <definedName name="investigations_b_score" localSheetId="1">[1]investigations!#REF!</definedName>
    <definedName name="mdd_avl_range" localSheetId="1">#REF!</definedName>
    <definedName name="mdd_avl_score" localSheetId="1">'[1]mdd-field rpting-avl'!#REF!</definedName>
    <definedName name="mdd_b_range" localSheetId="1">#REF!</definedName>
    <definedName name="mdd_b_score" localSheetId="1">'[1]mdd-field rpting-avl'!#REF!</definedName>
    <definedName name="mdd_dm_range" localSheetId="1">#REF!</definedName>
    <definedName name="mdd_dm_score" localSheetId="1">'[1]mdd-field rpting-avl'!#REF!</definedName>
    <definedName name="mdd_fld_range" localSheetId="1">#REF!</definedName>
    <definedName name="mdd_fld_score" localSheetId="1">'[1]mdd-field rpting-avl'!#REF!</definedName>
    <definedName name="mdd_g_range" localSheetId="1">#REF!</definedName>
    <definedName name="mdd_g_score" localSheetId="1">'[1]mdd-field rpting-avl'!#REF!</definedName>
    <definedName name="mdd_mob_range" localSheetId="1">#REF!</definedName>
    <definedName name="mdd_mob_score" localSheetId="1">'[1]mdd-field rpting-avl'!#REF!</definedName>
    <definedName name="mdd_or_range" localSheetId="1">#REF!</definedName>
    <definedName name="mdd_or_score" localSheetId="1">'[1]mdd-field rpting-avl'!#REF!</definedName>
    <definedName name="mdd_sc_range" localSheetId="1">#REF!</definedName>
    <definedName name="mdd_sc_score" localSheetId="1">'[1]mdd-field rpting-avl'!#REF!</definedName>
    <definedName name="mdd_sec_range" localSheetId="1">#REF!</definedName>
    <definedName name="mdd_sec_score" localSheetId="1">'[1]mdd-field rpting-avl'!#REF!</definedName>
    <definedName name="nfirs_b_range" localSheetId="1">#REF!</definedName>
    <definedName name="nfirs_b_score" localSheetId="1">[1]nfirs!#REF!</definedName>
    <definedName name="permits_b_range" localSheetId="1">#REF!</definedName>
    <definedName name="permits_b_score" localSheetId="1">[1]permits!#REF!</definedName>
    <definedName name="Range_EMS" localSheetId="1">#REF!</definedName>
    <definedName name="Range_Field_Reporting" localSheetId="1">#REF!</definedName>
    <definedName name="Range_FRMS_LastCell" localSheetId="1">#REF!</definedName>
    <definedName name="Range_MDC_LastCell" localSheetId="1">#REF!</definedName>
    <definedName name="Range_MVI" localSheetId="1">#REF!</definedName>
    <definedName name="Range_Other_Modules" localSheetId="1">#REF!</definedName>
    <definedName name="Range_Queries" localSheetId="1">#REF!</definedName>
    <definedName name="Range_Supervisory" localSheetId="1">'[4]system specifications'!#REF!</definedName>
    <definedName name="Score_CAD" localSheetId="1">#REF!</definedName>
    <definedName name="Score_Common" localSheetId="1">#REF!</definedName>
    <definedName name="Score_CPE" localSheetId="1">#REF!</definedName>
    <definedName name="Score_EMS" localSheetId="1">#REF!</definedName>
    <definedName name="Score_Field_Reporting" localSheetId="1">#REF!</definedName>
    <definedName name="Score_FRMS" localSheetId="1">#REF!</definedName>
    <definedName name="Score_GIS" localSheetId="1">#REF!</definedName>
    <definedName name="Score_Interface" localSheetId="1">#REF!</definedName>
    <definedName name="Score_LRMS" localSheetId="1">#REF!</definedName>
    <definedName name="Score_MDC" localSheetId="1">#REF!</definedName>
    <definedName name="Score_Other_Modules" localSheetId="1">#REF!</definedName>
    <definedName name="Score_Queries" localSheetId="1">#REF!</definedName>
    <definedName name="Score_RMS" localSheetId="1">#REF!</definedName>
    <definedName name="Score_Supervisory" localSheetId="1">[2]CAD!#REF!</definedName>
    <definedName name="specdata" localSheetId="14">'Support Data'!$A$6:$B$9</definedName>
    <definedName name="specdata">'Support Data'!$A$6:$B$9</definedName>
    <definedName name="SpecType" localSheetId="14">'Support Data'!$A$6:$A$9</definedName>
    <definedName name="SpecType">'Support Data'!$A$6:$A$9</definedName>
    <definedName name="SpecType1">'[5]Support Data'!$A$6:$A$9</definedName>
    <definedName name="staff_b_range" localSheetId="1">#REF!</definedName>
    <definedName name="staff_b_score" localSheetId="1">'[1]staffing '!#REF!</definedName>
    <definedName name="Terms" localSheetId="1">#REF!</definedName>
    <definedName name="train_b_range" localSheetId="1">#REF!</definedName>
    <definedName name="train_b_score" localSheetId="1">'[1]personnel &amp; training'!#REF!</definedName>
    <definedName name="Yes_No">'Support Data'!$F$5:$F$10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4" i="26" l="1"/>
  <c r="I4" i="26"/>
  <c r="K4" i="26" s="1"/>
  <c r="A4" i="26"/>
  <c r="F25" i="3" l="1"/>
  <c r="H2" i="52"/>
  <c r="F21" i="3" s="1"/>
  <c r="H18" i="43"/>
  <c r="H159" i="2" s="1"/>
  <c r="H16" i="43"/>
  <c r="H15" i="43"/>
  <c r="E159" i="2" s="1"/>
  <c r="H14" i="43"/>
  <c r="H123" i="2" s="1"/>
  <c r="H13" i="43"/>
  <c r="G123" i="2" s="1"/>
  <c r="H12" i="43"/>
  <c r="F123" i="2" s="1"/>
  <c r="H11" i="43"/>
  <c r="E123" i="2" s="1"/>
  <c r="H10" i="43"/>
  <c r="H92" i="2" s="1"/>
  <c r="H9" i="43"/>
  <c r="G92" i="2" s="1"/>
  <c r="H8" i="43"/>
  <c r="F92" i="2" s="1"/>
  <c r="H7" i="43"/>
  <c r="E92" i="2" s="1"/>
  <c r="H17" i="43"/>
  <c r="G159" i="2" s="1"/>
  <c r="H2" i="43"/>
  <c r="D61" i="2" s="1"/>
  <c r="D120" i="2"/>
  <c r="D112" i="2"/>
  <c r="B112" i="2"/>
  <c r="B126" i="2"/>
  <c r="B125" i="2"/>
  <c r="B124" i="2"/>
  <c r="B123" i="2"/>
  <c r="B122" i="2"/>
  <c r="B121" i="2"/>
  <c r="B119" i="2"/>
  <c r="B118" i="2"/>
  <c r="B117" i="2"/>
  <c r="B116" i="2"/>
  <c r="B115" i="2"/>
  <c r="B114" i="2"/>
  <c r="D89" i="2"/>
  <c r="D81" i="2"/>
  <c r="B81" i="2"/>
  <c r="H2" i="18"/>
  <c r="F12" i="3" s="1"/>
  <c r="H18" i="52"/>
  <c r="H155" i="2" s="1"/>
  <c r="H17" i="52"/>
  <c r="G155" i="2" s="1"/>
  <c r="H16" i="52"/>
  <c r="F155" i="2" s="1"/>
  <c r="H15" i="52"/>
  <c r="E155" i="2" s="1"/>
  <c r="H14" i="52"/>
  <c r="H120" i="2" s="1"/>
  <c r="H13" i="52"/>
  <c r="G120" i="2" s="1"/>
  <c r="H12" i="52"/>
  <c r="F120" i="2" s="1"/>
  <c r="H11" i="52"/>
  <c r="E120" i="2" s="1"/>
  <c r="H10" i="52"/>
  <c r="H89" i="2" s="1"/>
  <c r="H9" i="52"/>
  <c r="G89" i="2" s="1"/>
  <c r="H8" i="52"/>
  <c r="F89" i="2" s="1"/>
  <c r="H7" i="52"/>
  <c r="E89" i="2" s="1"/>
  <c r="B50" i="2"/>
  <c r="F29" i="2"/>
  <c r="D29" i="2"/>
  <c r="J66" i="43"/>
  <c r="I66" i="43"/>
  <c r="K66" i="43" s="1"/>
  <c r="H18" i="18"/>
  <c r="H146" i="2" s="1"/>
  <c r="H17" i="18"/>
  <c r="G146" i="2" s="1"/>
  <c r="H16" i="18"/>
  <c r="F146" i="2" s="1"/>
  <c r="H15" i="18"/>
  <c r="E146" i="2" s="1"/>
  <c r="H14" i="18"/>
  <c r="H112" i="2" s="1"/>
  <c r="H13" i="18"/>
  <c r="G112" i="2" s="1"/>
  <c r="H12" i="18"/>
  <c r="F112" i="2" s="1"/>
  <c r="H11" i="18"/>
  <c r="E112" i="2" s="1"/>
  <c r="H10" i="18"/>
  <c r="H81" i="2" s="1"/>
  <c r="H9" i="18"/>
  <c r="G81" i="2" s="1"/>
  <c r="H8" i="18"/>
  <c r="F81" i="2" s="1"/>
  <c r="H7" i="18"/>
  <c r="E81" i="2" s="1"/>
  <c r="B146" i="2"/>
  <c r="D146" i="2"/>
  <c r="C147" i="2"/>
  <c r="D143" i="2"/>
  <c r="D155" i="2"/>
  <c r="I18" i="2"/>
  <c r="H18" i="2"/>
  <c r="G18" i="2"/>
  <c r="F18" i="2"/>
  <c r="I26" i="2"/>
  <c r="H26" i="2"/>
  <c r="G26" i="2"/>
  <c r="F26" i="2"/>
  <c r="H18" i="45"/>
  <c r="H161" i="2" s="1"/>
  <c r="H17" i="45"/>
  <c r="G161" i="2" s="1"/>
  <c r="H16" i="45"/>
  <c r="F161" i="2" s="1"/>
  <c r="H15" i="45"/>
  <c r="E161" i="2" s="1"/>
  <c r="H14" i="45"/>
  <c r="H125" i="2" s="1"/>
  <c r="H13" i="45"/>
  <c r="G125" i="2" s="1"/>
  <c r="H12" i="45"/>
  <c r="F125" i="2" s="1"/>
  <c r="H11" i="45"/>
  <c r="E125" i="2" s="1"/>
  <c r="H10" i="45"/>
  <c r="H94" i="2" s="1"/>
  <c r="H9" i="45"/>
  <c r="G94" i="2" s="1"/>
  <c r="H8" i="45"/>
  <c r="H7" i="45"/>
  <c r="E94" i="2" s="1"/>
  <c r="H2" i="45"/>
  <c r="I112" i="2" l="1"/>
  <c r="I81" i="2"/>
  <c r="D58" i="2"/>
  <c r="D26" i="2"/>
  <c r="D18" i="2"/>
  <c r="K16" i="2" s="1"/>
  <c r="D50" i="2"/>
  <c r="F159" i="2"/>
  <c r="I146" i="2"/>
  <c r="C18" i="2"/>
  <c r="J33" i="52"/>
  <c r="I33" i="52"/>
  <c r="A33" i="52"/>
  <c r="J32" i="52"/>
  <c r="I32" i="52"/>
  <c r="A32" i="52"/>
  <c r="J31" i="52"/>
  <c r="I31" i="52"/>
  <c r="A31" i="52"/>
  <c r="K30" i="52"/>
  <c r="J29" i="52"/>
  <c r="I29" i="52"/>
  <c r="A29" i="52"/>
  <c r="J28" i="52"/>
  <c r="I28" i="52"/>
  <c r="A28" i="52"/>
  <c r="J27" i="52"/>
  <c r="I27" i="52"/>
  <c r="A27" i="52"/>
  <c r="K26" i="52"/>
  <c r="J25" i="52"/>
  <c r="I25" i="52"/>
  <c r="A25" i="52"/>
  <c r="J24" i="52"/>
  <c r="I24" i="52"/>
  <c r="A24" i="52"/>
  <c r="J23" i="52"/>
  <c r="I23" i="52"/>
  <c r="A23" i="52"/>
  <c r="K22" i="52"/>
  <c r="J21" i="52"/>
  <c r="I21" i="52"/>
  <c r="A21" i="52"/>
  <c r="J20" i="52"/>
  <c r="I20" i="52"/>
  <c r="K20" i="52" s="1"/>
  <c r="A20" i="52"/>
  <c r="J19" i="52"/>
  <c r="I19" i="52"/>
  <c r="K19" i="52" s="1"/>
  <c r="A19" i="52"/>
  <c r="J18" i="52"/>
  <c r="I18" i="52"/>
  <c r="A18" i="52"/>
  <c r="J17" i="52"/>
  <c r="I17" i="52"/>
  <c r="A17" i="52"/>
  <c r="J16" i="52"/>
  <c r="I16" i="52"/>
  <c r="A16" i="52"/>
  <c r="K15" i="52"/>
  <c r="J14" i="52"/>
  <c r="I14" i="52"/>
  <c r="K14" i="52" s="1"/>
  <c r="A14" i="52"/>
  <c r="J13" i="52"/>
  <c r="I13" i="52"/>
  <c r="A13" i="52"/>
  <c r="J12" i="52"/>
  <c r="I12" i="52"/>
  <c r="A12" i="52"/>
  <c r="K11" i="52"/>
  <c r="J10" i="52"/>
  <c r="I10" i="52"/>
  <c r="A10" i="52"/>
  <c r="J9" i="52"/>
  <c r="I9" i="52"/>
  <c r="A9" i="52"/>
  <c r="J8" i="52"/>
  <c r="I8" i="52"/>
  <c r="K8" i="52" s="1"/>
  <c r="A8" i="52"/>
  <c r="J7" i="52"/>
  <c r="I7" i="52"/>
  <c r="A7" i="52"/>
  <c r="J6" i="52"/>
  <c r="I6" i="52"/>
  <c r="A6" i="52"/>
  <c r="J5" i="52"/>
  <c r="I5" i="52"/>
  <c r="A5" i="52"/>
  <c r="K4" i="52"/>
  <c r="J3" i="52"/>
  <c r="I3" i="52"/>
  <c r="A3" i="52"/>
  <c r="K1" i="52"/>
  <c r="J1" i="52"/>
  <c r="I1" i="52"/>
  <c r="H1" i="52"/>
  <c r="G1" i="52"/>
  <c r="E1" i="52"/>
  <c r="D1" i="52"/>
  <c r="C1" i="52"/>
  <c r="H6" i="52" l="1"/>
  <c r="H5" i="52"/>
  <c r="H3" i="52"/>
  <c r="G21" i="3" s="1"/>
  <c r="H4" i="52"/>
  <c r="K21" i="52"/>
  <c r="K10" i="52"/>
  <c r="K24" i="52"/>
  <c r="K3" i="52"/>
  <c r="K27" i="52"/>
  <c r="K7" i="52"/>
  <c r="K13" i="52"/>
  <c r="K31" i="52"/>
  <c r="K23" i="52"/>
  <c r="K17" i="52"/>
  <c r="K28" i="52"/>
  <c r="K9" i="52"/>
  <c r="K16" i="52"/>
  <c r="K32" i="52"/>
  <c r="K33" i="52"/>
  <c r="K5" i="52"/>
  <c r="K25" i="52"/>
  <c r="K6" i="52"/>
  <c r="K12" i="52"/>
  <c r="K18" i="52"/>
  <c r="K29" i="52"/>
  <c r="J3" i="39"/>
  <c r="I3" i="39"/>
  <c r="J3" i="31"/>
  <c r="A44" i="28"/>
  <c r="A53" i="28"/>
  <c r="A52" i="28"/>
  <c r="A51" i="28"/>
  <c r="A46" i="28"/>
  <c r="A42" i="28"/>
  <c r="A34" i="28"/>
  <c r="A32" i="28"/>
  <c r="A31" i="28"/>
  <c r="A30" i="28"/>
  <c r="A28" i="28"/>
  <c r="A27" i="28"/>
  <c r="A26" i="28"/>
  <c r="A25" i="28"/>
  <c r="A24" i="28"/>
  <c r="A23" i="28"/>
  <c r="A22" i="28"/>
  <c r="A21" i="28"/>
  <c r="A20" i="28"/>
  <c r="A19" i="28"/>
  <c r="A18" i="28"/>
  <c r="A17" i="28"/>
  <c r="A16" i="28"/>
  <c r="A15" i="28"/>
  <c r="A14" i="28"/>
  <c r="A13" i="28"/>
  <c r="A12" i="28"/>
  <c r="A11" i="28"/>
  <c r="A10" i="28"/>
  <c r="A9" i="28"/>
  <c r="A8" i="28"/>
  <c r="A7" i="28"/>
  <c r="A6" i="28"/>
  <c r="A5" i="28"/>
  <c r="A4" i="28"/>
  <c r="H2" i="25"/>
  <c r="D21" i="2" s="1"/>
  <c r="H2" i="15"/>
  <c r="H18" i="15"/>
  <c r="H143" i="2" s="1"/>
  <c r="H17" i="15"/>
  <c r="G143" i="2" s="1"/>
  <c r="H16" i="15"/>
  <c r="F143" i="2" s="1"/>
  <c r="H15" i="15"/>
  <c r="E143" i="2" s="1"/>
  <c r="H14" i="15"/>
  <c r="H13" i="15"/>
  <c r="H110" i="2" s="1"/>
  <c r="H12" i="15"/>
  <c r="H11" i="15"/>
  <c r="E110" i="2" s="1"/>
  <c r="H10" i="15"/>
  <c r="H79" i="2" s="1"/>
  <c r="H9" i="15"/>
  <c r="G79" i="2" s="1"/>
  <c r="H8" i="15"/>
  <c r="F79" i="2" s="1"/>
  <c r="H7" i="15"/>
  <c r="E79" i="2" s="1"/>
  <c r="H2" i="11"/>
  <c r="H18" i="11"/>
  <c r="H142" i="2" s="1"/>
  <c r="H17" i="11"/>
  <c r="G142" i="2" s="1"/>
  <c r="H16" i="11"/>
  <c r="F142" i="2" s="1"/>
  <c r="H15" i="11"/>
  <c r="E142" i="2" s="1"/>
  <c r="H14" i="11"/>
  <c r="H109" i="2" s="1"/>
  <c r="H13" i="11"/>
  <c r="G109" i="2" s="1"/>
  <c r="H12" i="11"/>
  <c r="F109" i="2" s="1"/>
  <c r="H11" i="11"/>
  <c r="E109" i="2" s="1"/>
  <c r="H10" i="11"/>
  <c r="H78" i="2" s="1"/>
  <c r="H9" i="11"/>
  <c r="G78" i="2" s="1"/>
  <c r="H8" i="11"/>
  <c r="F78" i="2" s="1"/>
  <c r="H7" i="11"/>
  <c r="E78" i="2" s="1"/>
  <c r="J26" i="5"/>
  <c r="I26" i="5"/>
  <c r="H2" i="5"/>
  <c r="D46" i="2" s="1"/>
  <c r="H18" i="5"/>
  <c r="H139" i="2" s="1"/>
  <c r="H17" i="5"/>
  <c r="G139" i="2" s="1"/>
  <c r="H16" i="5"/>
  <c r="F139" i="2" s="1"/>
  <c r="H15" i="5"/>
  <c r="E139" i="2" s="1"/>
  <c r="H14" i="5"/>
  <c r="H108" i="2" s="1"/>
  <c r="H13" i="5"/>
  <c r="G108" i="2" s="1"/>
  <c r="H12" i="5"/>
  <c r="F108" i="2" s="1"/>
  <c r="H11" i="5"/>
  <c r="E108" i="2" s="1"/>
  <c r="H10" i="5"/>
  <c r="H77" i="2" s="1"/>
  <c r="H9" i="5"/>
  <c r="G77" i="2" s="1"/>
  <c r="H8" i="5"/>
  <c r="F77" i="2" s="1"/>
  <c r="H7" i="5"/>
  <c r="E77" i="2" s="1"/>
  <c r="J1" i="51"/>
  <c r="I1" i="51"/>
  <c r="H1" i="51"/>
  <c r="E1" i="51"/>
  <c r="D1" i="51"/>
  <c r="K2" i="50"/>
  <c r="H2" i="50"/>
  <c r="K1" i="50"/>
  <c r="J1" i="50"/>
  <c r="I1" i="50"/>
  <c r="H1" i="50"/>
  <c r="G1" i="50"/>
  <c r="E1" i="50"/>
  <c r="D1" i="50"/>
  <c r="C1" i="50"/>
  <c r="J180" i="49"/>
  <c r="I180" i="49"/>
  <c r="A180" i="49"/>
  <c r="J179" i="49"/>
  <c r="I179" i="49"/>
  <c r="K179" i="49" s="1"/>
  <c r="A179" i="49"/>
  <c r="J178" i="49"/>
  <c r="I178" i="49"/>
  <c r="A178" i="49"/>
  <c r="J177" i="49"/>
  <c r="I177" i="49"/>
  <c r="A177" i="49"/>
  <c r="J175" i="49"/>
  <c r="I175" i="49"/>
  <c r="A175" i="49"/>
  <c r="J174" i="49"/>
  <c r="I174" i="49"/>
  <c r="A174" i="49"/>
  <c r="J173" i="49"/>
  <c r="I173" i="49"/>
  <c r="A173" i="49"/>
  <c r="J172" i="49"/>
  <c r="I172" i="49"/>
  <c r="A172" i="49"/>
  <c r="J171" i="49"/>
  <c r="I171" i="49"/>
  <c r="A171" i="49"/>
  <c r="J170" i="49"/>
  <c r="I170" i="49"/>
  <c r="A170" i="49"/>
  <c r="J169" i="49"/>
  <c r="I169" i="49"/>
  <c r="J166" i="49"/>
  <c r="I166" i="49"/>
  <c r="A166" i="49"/>
  <c r="J165" i="49"/>
  <c r="I165" i="49"/>
  <c r="A165" i="49"/>
  <c r="J164" i="49"/>
  <c r="I164" i="49"/>
  <c r="A164" i="49"/>
  <c r="J163" i="49"/>
  <c r="I163" i="49"/>
  <c r="A163" i="49"/>
  <c r="J160" i="49"/>
  <c r="I160" i="49"/>
  <c r="A160" i="49"/>
  <c r="J159" i="49"/>
  <c r="I159" i="49"/>
  <c r="A159" i="49"/>
  <c r="J158" i="49"/>
  <c r="I158" i="49"/>
  <c r="A158" i="49"/>
  <c r="J157" i="49"/>
  <c r="I157" i="49"/>
  <c r="A157" i="49"/>
  <c r="J156" i="49"/>
  <c r="I156" i="49"/>
  <c r="A156" i="49"/>
  <c r="J155" i="49"/>
  <c r="I155" i="49"/>
  <c r="A155" i="49"/>
  <c r="J154" i="49"/>
  <c r="I154" i="49"/>
  <c r="A154" i="49"/>
  <c r="J153" i="49"/>
  <c r="I153" i="49"/>
  <c r="A153" i="49"/>
  <c r="J151" i="49"/>
  <c r="I151" i="49"/>
  <c r="A151" i="49"/>
  <c r="J150" i="49"/>
  <c r="I150" i="49"/>
  <c r="A150" i="49"/>
  <c r="J149" i="49"/>
  <c r="I149" i="49"/>
  <c r="A149" i="49"/>
  <c r="J148" i="49"/>
  <c r="I148" i="49"/>
  <c r="A148" i="49"/>
  <c r="J147" i="49"/>
  <c r="I147" i="49"/>
  <c r="A147" i="49"/>
  <c r="J145" i="49"/>
  <c r="I145" i="49"/>
  <c r="A145" i="49"/>
  <c r="J142" i="49"/>
  <c r="I142" i="49"/>
  <c r="A142" i="49"/>
  <c r="J141" i="49"/>
  <c r="I141" i="49"/>
  <c r="A141" i="49"/>
  <c r="J140" i="49"/>
  <c r="I140" i="49"/>
  <c r="A140" i="49"/>
  <c r="J139" i="49"/>
  <c r="I139" i="49"/>
  <c r="A139" i="49"/>
  <c r="J138" i="49"/>
  <c r="I138" i="49"/>
  <c r="A138" i="49"/>
  <c r="J137" i="49"/>
  <c r="I137" i="49"/>
  <c r="A137" i="49"/>
  <c r="J136" i="49"/>
  <c r="I136" i="49"/>
  <c r="A136" i="49"/>
  <c r="J134" i="49"/>
  <c r="I134" i="49"/>
  <c r="A134" i="49"/>
  <c r="J133" i="49"/>
  <c r="I133" i="49"/>
  <c r="A133" i="49"/>
  <c r="J132" i="49"/>
  <c r="I132" i="49"/>
  <c r="A132" i="49"/>
  <c r="J131" i="49"/>
  <c r="I131" i="49"/>
  <c r="A131" i="49"/>
  <c r="J129" i="49"/>
  <c r="I129" i="49"/>
  <c r="A129" i="49"/>
  <c r="J128" i="49"/>
  <c r="I128" i="49"/>
  <c r="A128" i="49"/>
  <c r="J127" i="49"/>
  <c r="I127" i="49"/>
  <c r="A127" i="49"/>
  <c r="J125" i="49"/>
  <c r="I125" i="49"/>
  <c r="A125" i="49"/>
  <c r="J123" i="49"/>
  <c r="I123" i="49"/>
  <c r="A123" i="49"/>
  <c r="J122" i="49"/>
  <c r="I122" i="49"/>
  <c r="A122" i="49"/>
  <c r="J120" i="49"/>
  <c r="I120" i="49"/>
  <c r="A120" i="49"/>
  <c r="J119" i="49"/>
  <c r="I119" i="49"/>
  <c r="A119" i="49"/>
  <c r="J118" i="49"/>
  <c r="I118" i="49"/>
  <c r="K118" i="49" s="1"/>
  <c r="A118" i="49"/>
  <c r="J117" i="49"/>
  <c r="I117" i="49"/>
  <c r="A117" i="49"/>
  <c r="J116" i="49"/>
  <c r="I116" i="49"/>
  <c r="A116" i="49"/>
  <c r="J114" i="49"/>
  <c r="I114" i="49"/>
  <c r="A114" i="49"/>
  <c r="J113" i="49"/>
  <c r="I113" i="49"/>
  <c r="A113" i="49"/>
  <c r="J112" i="49"/>
  <c r="I112" i="49"/>
  <c r="A112" i="49"/>
  <c r="J111" i="49"/>
  <c r="I111" i="49"/>
  <c r="A111" i="49"/>
  <c r="J110" i="49"/>
  <c r="I110" i="49"/>
  <c r="A110" i="49"/>
  <c r="J108" i="49"/>
  <c r="I108" i="49"/>
  <c r="A108" i="49"/>
  <c r="J107" i="49"/>
  <c r="I107" i="49"/>
  <c r="A107" i="49"/>
  <c r="J106" i="49"/>
  <c r="I106" i="49"/>
  <c r="A106" i="49"/>
  <c r="J104" i="49"/>
  <c r="I104" i="49"/>
  <c r="A104" i="49"/>
  <c r="J102" i="49"/>
  <c r="I102" i="49"/>
  <c r="A102" i="49"/>
  <c r="J101" i="49"/>
  <c r="I101" i="49"/>
  <c r="A101" i="49"/>
  <c r="J99" i="49"/>
  <c r="I99" i="49"/>
  <c r="A99" i="49"/>
  <c r="J98" i="49"/>
  <c r="I98" i="49"/>
  <c r="A98" i="49"/>
  <c r="J97" i="49"/>
  <c r="I97" i="49"/>
  <c r="A97" i="49"/>
  <c r="J96" i="49"/>
  <c r="I96" i="49"/>
  <c r="A96" i="49"/>
  <c r="J95" i="49"/>
  <c r="I95" i="49"/>
  <c r="A95" i="49"/>
  <c r="J94" i="49"/>
  <c r="I94" i="49"/>
  <c r="A94" i="49"/>
  <c r="J92" i="49"/>
  <c r="I92" i="49"/>
  <c r="A92" i="49"/>
  <c r="J91" i="49"/>
  <c r="I91" i="49"/>
  <c r="A91" i="49"/>
  <c r="J90" i="49"/>
  <c r="I90" i="49"/>
  <c r="A90" i="49"/>
  <c r="J88" i="49"/>
  <c r="I88" i="49"/>
  <c r="A88" i="49"/>
  <c r="J87" i="49"/>
  <c r="I87" i="49"/>
  <c r="A87" i="49"/>
  <c r="J86" i="49"/>
  <c r="I86" i="49"/>
  <c r="A86" i="49"/>
  <c r="J85" i="49"/>
  <c r="I85" i="49"/>
  <c r="A85" i="49"/>
  <c r="J84" i="49"/>
  <c r="I84" i="49"/>
  <c r="A84" i="49"/>
  <c r="J83" i="49"/>
  <c r="I83" i="49"/>
  <c r="A83" i="49"/>
  <c r="J81" i="49"/>
  <c r="I81" i="49"/>
  <c r="A81" i="49"/>
  <c r="J80" i="49"/>
  <c r="I80" i="49"/>
  <c r="A80" i="49"/>
  <c r="K79" i="49"/>
  <c r="J79" i="49"/>
  <c r="I79" i="49"/>
  <c r="A79" i="49"/>
  <c r="J78" i="49"/>
  <c r="I78" i="49"/>
  <c r="A78" i="49"/>
  <c r="J77" i="49"/>
  <c r="I77" i="49"/>
  <c r="K77" i="49" s="1"/>
  <c r="A77" i="49"/>
  <c r="J76" i="49"/>
  <c r="I76" i="49"/>
  <c r="A76" i="49"/>
  <c r="J75" i="49"/>
  <c r="I75" i="49"/>
  <c r="A75" i="49"/>
  <c r="J74" i="49"/>
  <c r="I74" i="49"/>
  <c r="K74" i="49" s="1"/>
  <c r="A74" i="49"/>
  <c r="J73" i="49"/>
  <c r="I73" i="49"/>
  <c r="A73" i="49"/>
  <c r="J72" i="49"/>
  <c r="I72" i="49"/>
  <c r="A72" i="49"/>
  <c r="J71" i="49"/>
  <c r="I71" i="49"/>
  <c r="A71" i="49"/>
  <c r="J70" i="49"/>
  <c r="I70" i="49"/>
  <c r="A70" i="49"/>
  <c r="J69" i="49"/>
  <c r="I69" i="49"/>
  <c r="A69" i="49"/>
  <c r="J68" i="49"/>
  <c r="I68" i="49"/>
  <c r="A68" i="49"/>
  <c r="J67" i="49"/>
  <c r="I67" i="49"/>
  <c r="A67" i="49"/>
  <c r="J66" i="49"/>
  <c r="I66" i="49"/>
  <c r="A66" i="49"/>
  <c r="J65" i="49"/>
  <c r="I65" i="49"/>
  <c r="A65" i="49"/>
  <c r="J64" i="49"/>
  <c r="I64" i="49"/>
  <c r="A64" i="49"/>
  <c r="J63" i="49"/>
  <c r="I63" i="49"/>
  <c r="A63" i="49"/>
  <c r="J62" i="49"/>
  <c r="I62" i="49"/>
  <c r="A62" i="49"/>
  <c r="J61" i="49"/>
  <c r="I61" i="49"/>
  <c r="A61" i="49"/>
  <c r="J60" i="49"/>
  <c r="I60" i="49"/>
  <c r="A60" i="49"/>
  <c r="J59" i="49"/>
  <c r="I59" i="49"/>
  <c r="A59" i="49"/>
  <c r="J58" i="49"/>
  <c r="I58" i="49"/>
  <c r="A58" i="49"/>
  <c r="J56" i="49"/>
  <c r="I56" i="49"/>
  <c r="K56" i="49" s="1"/>
  <c r="A56" i="49"/>
  <c r="J55" i="49"/>
  <c r="I55" i="49"/>
  <c r="A55" i="49"/>
  <c r="J54" i="49"/>
  <c r="I54" i="49"/>
  <c r="A54" i="49"/>
  <c r="J53" i="49"/>
  <c r="I53" i="49"/>
  <c r="A53" i="49"/>
  <c r="J52" i="49"/>
  <c r="I52" i="49"/>
  <c r="A52" i="49"/>
  <c r="J51" i="49"/>
  <c r="I51" i="49"/>
  <c r="A51" i="49"/>
  <c r="J50" i="49"/>
  <c r="I50" i="49"/>
  <c r="A50" i="49"/>
  <c r="J49" i="49"/>
  <c r="I49" i="49"/>
  <c r="A49" i="49"/>
  <c r="J48" i="49"/>
  <c r="I48" i="49"/>
  <c r="A48" i="49"/>
  <c r="J47" i="49"/>
  <c r="I47" i="49"/>
  <c r="A47" i="49"/>
  <c r="J46" i="49"/>
  <c r="I46" i="49"/>
  <c r="A46" i="49"/>
  <c r="J45" i="49"/>
  <c r="I45" i="49"/>
  <c r="A45" i="49"/>
  <c r="J44" i="49"/>
  <c r="I44" i="49"/>
  <c r="A44" i="49"/>
  <c r="J43" i="49"/>
  <c r="I43" i="49"/>
  <c r="A43" i="49"/>
  <c r="J42" i="49"/>
  <c r="I42" i="49"/>
  <c r="A42" i="49"/>
  <c r="J41" i="49"/>
  <c r="I41" i="49"/>
  <c r="A41" i="49"/>
  <c r="J40" i="49"/>
  <c r="I40" i="49"/>
  <c r="A40" i="49"/>
  <c r="J39" i="49"/>
  <c r="I39" i="49"/>
  <c r="A39" i="49"/>
  <c r="J38" i="49"/>
  <c r="I38" i="49"/>
  <c r="A38" i="49"/>
  <c r="J37" i="49"/>
  <c r="I37" i="49"/>
  <c r="A37" i="49"/>
  <c r="J36" i="49"/>
  <c r="I36" i="49"/>
  <c r="A36" i="49"/>
  <c r="J35" i="49"/>
  <c r="I35" i="49"/>
  <c r="A35" i="49"/>
  <c r="J34" i="49"/>
  <c r="I34" i="49"/>
  <c r="A34" i="49"/>
  <c r="J33" i="49"/>
  <c r="I33" i="49"/>
  <c r="A33" i="49"/>
  <c r="J31" i="49"/>
  <c r="I31" i="49"/>
  <c r="A31" i="49"/>
  <c r="J30" i="49"/>
  <c r="I30" i="49"/>
  <c r="A30" i="49"/>
  <c r="J29" i="49"/>
  <c r="I29" i="49"/>
  <c r="A29" i="49"/>
  <c r="J28" i="49"/>
  <c r="I28" i="49"/>
  <c r="A28" i="49"/>
  <c r="J27" i="49"/>
  <c r="I27" i="49"/>
  <c r="A27" i="49"/>
  <c r="J26" i="49"/>
  <c r="I26" i="49"/>
  <c r="A26" i="49"/>
  <c r="J25" i="49"/>
  <c r="I25" i="49"/>
  <c r="A25" i="49"/>
  <c r="J24" i="49"/>
  <c r="I24" i="49"/>
  <c r="A24" i="49"/>
  <c r="J23" i="49"/>
  <c r="I23" i="49"/>
  <c r="A23" i="49"/>
  <c r="J22" i="49"/>
  <c r="I22" i="49"/>
  <c r="A22" i="49"/>
  <c r="J21" i="49"/>
  <c r="I21" i="49"/>
  <c r="A21" i="49"/>
  <c r="J20" i="49"/>
  <c r="I20" i="49"/>
  <c r="A20" i="49"/>
  <c r="J19" i="49"/>
  <c r="I19" i="49"/>
  <c r="A19" i="49"/>
  <c r="J18" i="49"/>
  <c r="I18" i="49"/>
  <c r="H18" i="49"/>
  <c r="H162" i="2" s="1"/>
  <c r="A18" i="49"/>
  <c r="H17" i="49"/>
  <c r="G162" i="2" s="1"/>
  <c r="J16" i="49"/>
  <c r="I16" i="49"/>
  <c r="H16" i="49"/>
  <c r="F162" i="2" s="1"/>
  <c r="A16" i="49"/>
  <c r="J15" i="49"/>
  <c r="I15" i="49"/>
  <c r="H15" i="49"/>
  <c r="E162" i="2" s="1"/>
  <c r="A15" i="49"/>
  <c r="J14" i="49"/>
  <c r="I14" i="49"/>
  <c r="H14" i="49"/>
  <c r="H126" i="2" s="1"/>
  <c r="A14" i="49"/>
  <c r="J13" i="49"/>
  <c r="I13" i="49"/>
  <c r="H13" i="49"/>
  <c r="G126" i="2" s="1"/>
  <c r="A13" i="49"/>
  <c r="J12" i="49"/>
  <c r="I12" i="49"/>
  <c r="H12" i="49"/>
  <c r="F126" i="2" s="1"/>
  <c r="A12" i="49"/>
  <c r="J11" i="49"/>
  <c r="I11" i="49"/>
  <c r="H11" i="49"/>
  <c r="E126" i="2" s="1"/>
  <c r="A11" i="49"/>
  <c r="J10" i="49"/>
  <c r="I10" i="49"/>
  <c r="H10" i="49"/>
  <c r="H95" i="2" s="1"/>
  <c r="A10" i="49"/>
  <c r="H9" i="49"/>
  <c r="G95" i="2" s="1"/>
  <c r="J8" i="49"/>
  <c r="I8" i="49"/>
  <c r="H8" i="49"/>
  <c r="F95" i="2" s="1"/>
  <c r="A8" i="49"/>
  <c r="J7" i="49"/>
  <c r="I7" i="49"/>
  <c r="H7" i="49"/>
  <c r="E95" i="2" s="1"/>
  <c r="A7" i="49"/>
  <c r="J6" i="49"/>
  <c r="I6" i="49"/>
  <c r="A6" i="49"/>
  <c r="J5" i="49"/>
  <c r="I5" i="49"/>
  <c r="A5" i="49"/>
  <c r="J3" i="49"/>
  <c r="I3" i="49"/>
  <c r="A3" i="49"/>
  <c r="H2" i="49"/>
  <c r="D64" i="2" s="1"/>
  <c r="K1" i="49"/>
  <c r="J1" i="49"/>
  <c r="I1" i="49"/>
  <c r="H1" i="49"/>
  <c r="G1" i="49"/>
  <c r="H6" i="49" s="1"/>
  <c r="J28" i="3" s="1"/>
  <c r="E1" i="49"/>
  <c r="D1" i="49"/>
  <c r="C1" i="49"/>
  <c r="J29" i="48"/>
  <c r="I29" i="48"/>
  <c r="J28" i="48"/>
  <c r="K28" i="48" s="1"/>
  <c r="I28" i="48"/>
  <c r="J27" i="48"/>
  <c r="I27" i="48"/>
  <c r="J26" i="48"/>
  <c r="I26" i="48"/>
  <c r="J24" i="48"/>
  <c r="K24" i="48" s="1"/>
  <c r="I24" i="48"/>
  <c r="J23" i="48"/>
  <c r="I23" i="48"/>
  <c r="J22" i="48"/>
  <c r="I22" i="48"/>
  <c r="J21" i="48"/>
  <c r="I21" i="48"/>
  <c r="J19" i="48"/>
  <c r="I19" i="48"/>
  <c r="J18" i="48"/>
  <c r="I18" i="48"/>
  <c r="H18" i="48"/>
  <c r="J17" i="48"/>
  <c r="K17" i="48" s="1"/>
  <c r="I17" i="48"/>
  <c r="H17" i="48"/>
  <c r="J16" i="48"/>
  <c r="I16" i="48"/>
  <c r="H16" i="48"/>
  <c r="J15" i="48"/>
  <c r="I15" i="48"/>
  <c r="H15" i="48"/>
  <c r="J14" i="48"/>
  <c r="I14" i="48"/>
  <c r="H14" i="48"/>
  <c r="J13" i="48"/>
  <c r="I13" i="48"/>
  <c r="H13" i="48"/>
  <c r="H12" i="48"/>
  <c r="J11" i="48"/>
  <c r="I11" i="48"/>
  <c r="H11" i="48"/>
  <c r="J10" i="48"/>
  <c r="I10" i="48"/>
  <c r="H10" i="48"/>
  <c r="J9" i="48"/>
  <c r="I9" i="48"/>
  <c r="H9" i="48"/>
  <c r="J8" i="48"/>
  <c r="I8" i="48"/>
  <c r="H8" i="48"/>
  <c r="J7" i="48"/>
  <c r="I7" i="48"/>
  <c r="H7" i="48"/>
  <c r="J6" i="48"/>
  <c r="I6" i="48"/>
  <c r="J5" i="48"/>
  <c r="I5" i="48"/>
  <c r="J4" i="48"/>
  <c r="I4" i="48"/>
  <c r="J3" i="48"/>
  <c r="I3" i="48"/>
  <c r="H2" i="48"/>
  <c r="K1" i="48"/>
  <c r="J1" i="48"/>
  <c r="I1" i="48"/>
  <c r="H1" i="48"/>
  <c r="G1" i="48"/>
  <c r="H5" i="48" s="1"/>
  <c r="E1" i="48"/>
  <c r="D1" i="48"/>
  <c r="C1" i="48"/>
  <c r="J30" i="47"/>
  <c r="I30" i="47"/>
  <c r="J29" i="47"/>
  <c r="I29" i="47"/>
  <c r="J28" i="47"/>
  <c r="I28" i="47"/>
  <c r="J26" i="47"/>
  <c r="I26" i="47"/>
  <c r="J25" i="47"/>
  <c r="I25" i="47"/>
  <c r="J24" i="47"/>
  <c r="I24" i="47"/>
  <c r="J23" i="47"/>
  <c r="I23" i="47"/>
  <c r="J21" i="47"/>
  <c r="I21" i="47"/>
  <c r="J20" i="47"/>
  <c r="I20" i="47"/>
  <c r="J19" i="47"/>
  <c r="I19" i="47"/>
  <c r="J18" i="47"/>
  <c r="I18" i="47"/>
  <c r="H18" i="47"/>
  <c r="H17" i="47"/>
  <c r="J16" i="47"/>
  <c r="I16" i="47"/>
  <c r="H16" i="47"/>
  <c r="J15" i="47"/>
  <c r="I15" i="47"/>
  <c r="H15" i="47"/>
  <c r="J14" i="47"/>
  <c r="I14" i="47"/>
  <c r="H14" i="47"/>
  <c r="J13" i="47"/>
  <c r="I13" i="47"/>
  <c r="H13" i="47"/>
  <c r="J12" i="47"/>
  <c r="I12" i="47"/>
  <c r="H12" i="47"/>
  <c r="J11" i="47"/>
  <c r="I11" i="47"/>
  <c r="H11" i="47"/>
  <c r="J10" i="47"/>
  <c r="I10" i="47"/>
  <c r="H10" i="47"/>
  <c r="J9" i="47"/>
  <c r="I9" i="47"/>
  <c r="H9" i="47"/>
  <c r="J8" i="47"/>
  <c r="I8" i="47"/>
  <c r="H8" i="47"/>
  <c r="J7" i="47"/>
  <c r="I7" i="47"/>
  <c r="H7" i="47"/>
  <c r="J6" i="47"/>
  <c r="I6" i="47"/>
  <c r="J4" i="47"/>
  <c r="I4" i="47"/>
  <c r="J3" i="47"/>
  <c r="I3" i="47"/>
  <c r="H2" i="47"/>
  <c r="K1" i="47"/>
  <c r="J1" i="47"/>
  <c r="I1" i="47"/>
  <c r="H1" i="47"/>
  <c r="G1" i="47"/>
  <c r="H5" i="47" s="1"/>
  <c r="E1" i="47"/>
  <c r="D1" i="47"/>
  <c r="C1" i="47"/>
  <c r="J92" i="46"/>
  <c r="I92" i="46"/>
  <c r="J91" i="46"/>
  <c r="I91" i="46"/>
  <c r="J90" i="46"/>
  <c r="I90" i="46"/>
  <c r="J88" i="46"/>
  <c r="I88" i="46"/>
  <c r="J87" i="46"/>
  <c r="I87" i="46"/>
  <c r="J86" i="46"/>
  <c r="I86" i="46"/>
  <c r="J85" i="46"/>
  <c r="I85" i="46"/>
  <c r="J83" i="46"/>
  <c r="I83" i="46"/>
  <c r="J82" i="46"/>
  <c r="I82" i="46"/>
  <c r="K82" i="46" s="1"/>
  <c r="J81" i="46"/>
  <c r="I81" i="46"/>
  <c r="J80" i="46"/>
  <c r="K80" i="46" s="1"/>
  <c r="I80" i="46"/>
  <c r="J78" i="46"/>
  <c r="I78" i="46"/>
  <c r="J77" i="46"/>
  <c r="I77" i="46"/>
  <c r="J76" i="46"/>
  <c r="K76" i="46" s="1"/>
  <c r="I76" i="46"/>
  <c r="J75" i="46"/>
  <c r="I75" i="46"/>
  <c r="J74" i="46"/>
  <c r="I74" i="46"/>
  <c r="J73" i="46"/>
  <c r="I73" i="46"/>
  <c r="J72" i="46"/>
  <c r="I72" i="46"/>
  <c r="J71" i="46"/>
  <c r="I71" i="46"/>
  <c r="J70" i="46"/>
  <c r="I70" i="46"/>
  <c r="K70" i="46" s="1"/>
  <c r="J69" i="46"/>
  <c r="I69" i="46"/>
  <c r="J67" i="46"/>
  <c r="I67" i="46"/>
  <c r="J66" i="46"/>
  <c r="I66" i="46"/>
  <c r="J65" i="46"/>
  <c r="I65" i="46"/>
  <c r="J64" i="46"/>
  <c r="K64" i="46" s="1"/>
  <c r="I64" i="46"/>
  <c r="J63" i="46"/>
  <c r="I63" i="46"/>
  <c r="J62" i="46"/>
  <c r="I62" i="46"/>
  <c r="J61" i="46"/>
  <c r="I61" i="46"/>
  <c r="J60" i="46"/>
  <c r="I60" i="46"/>
  <c r="J59" i="46"/>
  <c r="I59" i="46"/>
  <c r="J58" i="46"/>
  <c r="I58" i="46"/>
  <c r="J57" i="46"/>
  <c r="I57" i="46"/>
  <c r="J56" i="46"/>
  <c r="I56" i="46"/>
  <c r="J55" i="46"/>
  <c r="I55" i="46"/>
  <c r="J54" i="46"/>
  <c r="I54" i="46"/>
  <c r="J53" i="46"/>
  <c r="I53" i="46"/>
  <c r="J52" i="46"/>
  <c r="I52" i="46"/>
  <c r="J51" i="46"/>
  <c r="I51" i="46"/>
  <c r="J50" i="46"/>
  <c r="I50" i="46"/>
  <c r="J49" i="46"/>
  <c r="I49" i="46"/>
  <c r="J48" i="46"/>
  <c r="I48" i="46"/>
  <c r="J47" i="46"/>
  <c r="I47" i="46"/>
  <c r="J46" i="46"/>
  <c r="I46" i="46"/>
  <c r="J45" i="46"/>
  <c r="I45" i="46"/>
  <c r="J44" i="46"/>
  <c r="I44" i="46"/>
  <c r="J43" i="46"/>
  <c r="I43" i="46"/>
  <c r="J42" i="46"/>
  <c r="I42" i="46"/>
  <c r="J41" i="46"/>
  <c r="I41" i="46"/>
  <c r="J40" i="46"/>
  <c r="I40" i="46"/>
  <c r="J39" i="46"/>
  <c r="I39" i="46"/>
  <c r="J38" i="46"/>
  <c r="I38" i="46"/>
  <c r="J37" i="46"/>
  <c r="I37" i="46"/>
  <c r="J36" i="46"/>
  <c r="I36" i="46"/>
  <c r="J35" i="46"/>
  <c r="I35" i="46"/>
  <c r="J34" i="46"/>
  <c r="I34" i="46"/>
  <c r="J33" i="46"/>
  <c r="I33" i="46"/>
  <c r="J32" i="46"/>
  <c r="I32" i="46"/>
  <c r="J31" i="46"/>
  <c r="I31" i="46"/>
  <c r="J30" i="46"/>
  <c r="I30" i="46"/>
  <c r="J29" i="46"/>
  <c r="I29" i="46"/>
  <c r="J28" i="46"/>
  <c r="I28" i="46"/>
  <c r="J27" i="46"/>
  <c r="I27" i="46"/>
  <c r="J26" i="46"/>
  <c r="I26" i="46"/>
  <c r="J25" i="46"/>
  <c r="I25" i="46"/>
  <c r="J24" i="46"/>
  <c r="I24" i="46"/>
  <c r="J22" i="46"/>
  <c r="I22" i="46"/>
  <c r="J21" i="46"/>
  <c r="I21" i="46"/>
  <c r="J20" i="46"/>
  <c r="I20" i="46"/>
  <c r="J19" i="46"/>
  <c r="I19" i="46"/>
  <c r="J18" i="46"/>
  <c r="I18" i="46"/>
  <c r="H18" i="46"/>
  <c r="J17" i="46"/>
  <c r="I17" i="46"/>
  <c r="K17" i="46" s="1"/>
  <c r="H17" i="46"/>
  <c r="J16" i="46"/>
  <c r="I16" i="46"/>
  <c r="K16" i="46" s="1"/>
  <c r="H16" i="46"/>
  <c r="H15" i="46"/>
  <c r="J14" i="46"/>
  <c r="I14" i="46"/>
  <c r="K14" i="46" s="1"/>
  <c r="H14" i="46"/>
  <c r="J13" i="46"/>
  <c r="I13" i="46"/>
  <c r="H13" i="46"/>
  <c r="J12" i="46"/>
  <c r="I12" i="46"/>
  <c r="H12" i="46"/>
  <c r="J11" i="46"/>
  <c r="I11" i="46"/>
  <c r="H11" i="46"/>
  <c r="J10" i="46"/>
  <c r="I10" i="46"/>
  <c r="H10" i="46"/>
  <c r="J9" i="46"/>
  <c r="I9" i="46"/>
  <c r="H9" i="46"/>
  <c r="J8" i="46"/>
  <c r="I8" i="46"/>
  <c r="H8" i="46"/>
  <c r="J7" i="46"/>
  <c r="I7" i="46"/>
  <c r="H7" i="46"/>
  <c r="J6" i="46"/>
  <c r="I6" i="46"/>
  <c r="J5" i="46"/>
  <c r="I5" i="46"/>
  <c r="J4" i="46"/>
  <c r="I4" i="46"/>
  <c r="H2" i="46"/>
  <c r="K1" i="46"/>
  <c r="J1" i="46"/>
  <c r="I1" i="46"/>
  <c r="H1" i="46"/>
  <c r="G1" i="46"/>
  <c r="H4" i="46" s="1"/>
  <c r="E1" i="46"/>
  <c r="D1" i="46"/>
  <c r="C1" i="46"/>
  <c r="J27" i="45"/>
  <c r="I27" i="45"/>
  <c r="A27" i="45"/>
  <c r="J26" i="45"/>
  <c r="I26" i="45"/>
  <c r="A26" i="45"/>
  <c r="J25" i="45"/>
  <c r="I25" i="45"/>
  <c r="A25" i="45"/>
  <c r="J24" i="45"/>
  <c r="I24" i="45"/>
  <c r="A24" i="45"/>
  <c r="J23" i="45"/>
  <c r="I23" i="45"/>
  <c r="A23" i="45"/>
  <c r="J21" i="45"/>
  <c r="I21" i="45"/>
  <c r="A21" i="45"/>
  <c r="J20" i="45"/>
  <c r="I20" i="45"/>
  <c r="A20" i="45"/>
  <c r="J19" i="45"/>
  <c r="I19" i="45"/>
  <c r="A19" i="45"/>
  <c r="J18" i="45"/>
  <c r="I18" i="45"/>
  <c r="A18" i="45"/>
  <c r="A16" i="45"/>
  <c r="J15" i="45"/>
  <c r="I15" i="45"/>
  <c r="A15" i="45"/>
  <c r="J14" i="45"/>
  <c r="I14" i="45"/>
  <c r="A14" i="45"/>
  <c r="J12" i="45"/>
  <c r="I12" i="45"/>
  <c r="A12" i="45"/>
  <c r="J11" i="45"/>
  <c r="I11" i="45"/>
  <c r="A11" i="45"/>
  <c r="J10" i="45"/>
  <c r="I10" i="45"/>
  <c r="A10" i="45"/>
  <c r="J9" i="45"/>
  <c r="I9" i="45"/>
  <c r="F94" i="2"/>
  <c r="A9" i="45"/>
  <c r="J8" i="45"/>
  <c r="I8" i="45"/>
  <c r="A8" i="45"/>
  <c r="J7" i="45"/>
  <c r="I7" i="45"/>
  <c r="A7" i="45"/>
  <c r="J6" i="45"/>
  <c r="I6" i="45"/>
  <c r="A6" i="45"/>
  <c r="J5" i="45"/>
  <c r="I5" i="45"/>
  <c r="A5" i="45"/>
  <c r="J3" i="45"/>
  <c r="I3" i="45"/>
  <c r="A3" i="45"/>
  <c r="D63" i="2"/>
  <c r="K1" i="45"/>
  <c r="J1" i="45"/>
  <c r="I1" i="45"/>
  <c r="H1" i="45"/>
  <c r="G1" i="45"/>
  <c r="E1" i="45"/>
  <c r="D1" i="45"/>
  <c r="C1" i="45"/>
  <c r="J27" i="44"/>
  <c r="I27" i="44"/>
  <c r="A27" i="44"/>
  <c r="J26" i="44"/>
  <c r="I26" i="44"/>
  <c r="A26" i="44"/>
  <c r="J25" i="44"/>
  <c r="I25" i="44"/>
  <c r="A25" i="44"/>
  <c r="J23" i="44"/>
  <c r="I23" i="44"/>
  <c r="A23" i="44"/>
  <c r="J22" i="44"/>
  <c r="I22" i="44"/>
  <c r="A22" i="44"/>
  <c r="J21" i="44"/>
  <c r="I21" i="44"/>
  <c r="A21" i="44"/>
  <c r="J20" i="44"/>
  <c r="I20" i="44"/>
  <c r="A20" i="44"/>
  <c r="J18" i="44"/>
  <c r="I18" i="44"/>
  <c r="H18" i="44"/>
  <c r="H160" i="2" s="1"/>
  <c r="A18" i="44"/>
  <c r="J17" i="44"/>
  <c r="I17" i="44"/>
  <c r="H17" i="44"/>
  <c r="G160" i="2" s="1"/>
  <c r="A17" i="44"/>
  <c r="J16" i="44"/>
  <c r="I16" i="44"/>
  <c r="H16" i="44"/>
  <c r="F160" i="2" s="1"/>
  <c r="A16" i="44"/>
  <c r="J15" i="44"/>
  <c r="I15" i="44"/>
  <c r="H15" i="44"/>
  <c r="E160" i="2" s="1"/>
  <c r="A15" i="44"/>
  <c r="H14" i="44"/>
  <c r="H124" i="2" s="1"/>
  <c r="H13" i="44"/>
  <c r="G124" i="2" s="1"/>
  <c r="J12" i="44"/>
  <c r="I12" i="44"/>
  <c r="H12" i="44"/>
  <c r="F124" i="2" s="1"/>
  <c r="A12" i="44"/>
  <c r="J11" i="44"/>
  <c r="I11" i="44"/>
  <c r="H11" i="44"/>
  <c r="E124" i="2" s="1"/>
  <c r="A11" i="44"/>
  <c r="J10" i="44"/>
  <c r="I10" i="44"/>
  <c r="H10" i="44"/>
  <c r="H93" i="2" s="1"/>
  <c r="A10" i="44"/>
  <c r="J9" i="44"/>
  <c r="I9" i="44"/>
  <c r="H9" i="44"/>
  <c r="A9" i="44"/>
  <c r="J8" i="44"/>
  <c r="I8" i="44"/>
  <c r="H8" i="44"/>
  <c r="G93" i="2" s="1"/>
  <c r="A8" i="44"/>
  <c r="H7" i="44"/>
  <c r="F93" i="2" s="1"/>
  <c r="J6" i="44"/>
  <c r="I6" i="44"/>
  <c r="A6" i="44"/>
  <c r="J5" i="44"/>
  <c r="I5" i="44"/>
  <c r="A5" i="44"/>
  <c r="J4" i="44"/>
  <c r="I4" i="44"/>
  <c r="A4" i="44"/>
  <c r="J3" i="44"/>
  <c r="I3" i="44"/>
  <c r="A3" i="44"/>
  <c r="H2" i="44"/>
  <c r="K1" i="44"/>
  <c r="J1" i="44"/>
  <c r="I1" i="44"/>
  <c r="H1" i="44"/>
  <c r="G1" i="44"/>
  <c r="H6" i="44" s="1"/>
  <c r="J26" i="3" s="1"/>
  <c r="E1" i="44"/>
  <c r="D1" i="44"/>
  <c r="C1" i="44"/>
  <c r="A66" i="43"/>
  <c r="J65" i="43"/>
  <c r="I65" i="43"/>
  <c r="A65" i="43"/>
  <c r="J64" i="43"/>
  <c r="I64" i="43"/>
  <c r="A64" i="43"/>
  <c r="J63" i="43"/>
  <c r="I63" i="43"/>
  <c r="A63" i="43"/>
  <c r="J62" i="43"/>
  <c r="I62" i="43"/>
  <c r="A62" i="43"/>
  <c r="J61" i="43"/>
  <c r="I61" i="43"/>
  <c r="A61" i="43"/>
  <c r="J60" i="43"/>
  <c r="I60" i="43"/>
  <c r="A60" i="43"/>
  <c r="J59" i="43"/>
  <c r="I59" i="43"/>
  <c r="A59" i="43"/>
  <c r="J58" i="43"/>
  <c r="I58" i="43"/>
  <c r="A58" i="43"/>
  <c r="J57" i="43"/>
  <c r="I57" i="43"/>
  <c r="A57" i="43"/>
  <c r="J56" i="43"/>
  <c r="I56" i="43"/>
  <c r="A56" i="43"/>
  <c r="J55" i="43"/>
  <c r="I55" i="43"/>
  <c r="A55" i="43"/>
  <c r="J54" i="43"/>
  <c r="I54" i="43"/>
  <c r="A54" i="43"/>
  <c r="J53" i="43"/>
  <c r="I53" i="43"/>
  <c r="A53" i="43"/>
  <c r="J52" i="43"/>
  <c r="I52" i="43"/>
  <c r="A52" i="43"/>
  <c r="J51" i="43"/>
  <c r="I51" i="43"/>
  <c r="A51" i="43"/>
  <c r="J50" i="43"/>
  <c r="I50" i="43"/>
  <c r="A50" i="43"/>
  <c r="J49" i="43"/>
  <c r="I49" i="43"/>
  <c r="A49" i="43"/>
  <c r="J48" i="43"/>
  <c r="I48" i="43"/>
  <c r="A48" i="43"/>
  <c r="J47" i="43"/>
  <c r="I47" i="43"/>
  <c r="A47" i="43"/>
  <c r="J46" i="43"/>
  <c r="I46" i="43"/>
  <c r="A46" i="43"/>
  <c r="J45" i="43"/>
  <c r="I45" i="43"/>
  <c r="A45" i="43"/>
  <c r="J44" i="43"/>
  <c r="I44" i="43"/>
  <c r="A44" i="43"/>
  <c r="J43" i="43"/>
  <c r="I43" i="43"/>
  <c r="A43" i="43"/>
  <c r="J42" i="43"/>
  <c r="I42" i="43"/>
  <c r="A42" i="43"/>
  <c r="J41" i="43"/>
  <c r="I41" i="43"/>
  <c r="A41" i="43"/>
  <c r="J40" i="43"/>
  <c r="I40" i="43"/>
  <c r="A40" i="43"/>
  <c r="J39" i="43"/>
  <c r="I39" i="43"/>
  <c r="A39" i="43"/>
  <c r="J38" i="43"/>
  <c r="I38" i="43"/>
  <c r="A38" i="43"/>
  <c r="J37" i="43"/>
  <c r="I37" i="43"/>
  <c r="A37" i="43"/>
  <c r="J36" i="43"/>
  <c r="I36" i="43"/>
  <c r="A36" i="43"/>
  <c r="J35" i="43"/>
  <c r="I35" i="43"/>
  <c r="A35" i="43"/>
  <c r="J34" i="43"/>
  <c r="I34" i="43"/>
  <c r="A34" i="43"/>
  <c r="J33" i="43"/>
  <c r="I33" i="43"/>
  <c r="A33" i="43"/>
  <c r="J32" i="43"/>
  <c r="I32" i="43"/>
  <c r="A32" i="43"/>
  <c r="J30" i="43"/>
  <c r="I30" i="43"/>
  <c r="A30" i="43"/>
  <c r="J29" i="43"/>
  <c r="I29" i="43"/>
  <c r="A29" i="43"/>
  <c r="J28" i="43"/>
  <c r="I28" i="43"/>
  <c r="A28" i="43"/>
  <c r="J27" i="43"/>
  <c r="I27" i="43"/>
  <c r="A27" i="43"/>
  <c r="J26" i="43"/>
  <c r="I26" i="43"/>
  <c r="A26" i="43"/>
  <c r="J25" i="43"/>
  <c r="I25" i="43"/>
  <c r="A25" i="43"/>
  <c r="J24" i="43"/>
  <c r="I24" i="43"/>
  <c r="A24" i="43"/>
  <c r="J23" i="43"/>
  <c r="I23" i="43"/>
  <c r="A23" i="43"/>
  <c r="J22" i="43"/>
  <c r="I22" i="43"/>
  <c r="A22" i="43"/>
  <c r="J21" i="43"/>
  <c r="I21" i="43"/>
  <c r="A21" i="43"/>
  <c r="J20" i="43"/>
  <c r="I20" i="43"/>
  <c r="A20" i="43"/>
  <c r="J19" i="43"/>
  <c r="I19" i="43"/>
  <c r="H19" i="43"/>
  <c r="A19" i="43"/>
  <c r="J18" i="43"/>
  <c r="I18" i="43"/>
  <c r="A18" i="43"/>
  <c r="J17" i="43"/>
  <c r="I17" i="43"/>
  <c r="A17" i="43"/>
  <c r="J16" i="43"/>
  <c r="I16" i="43"/>
  <c r="A16" i="43"/>
  <c r="J15" i="43"/>
  <c r="I15" i="43"/>
  <c r="A15" i="43"/>
  <c r="J14" i="43"/>
  <c r="I14" i="43"/>
  <c r="A14" i="43"/>
  <c r="J13" i="43"/>
  <c r="I13" i="43"/>
  <c r="A13" i="43"/>
  <c r="J12" i="43"/>
  <c r="I12" i="43"/>
  <c r="A12" i="43"/>
  <c r="J11" i="43"/>
  <c r="I11" i="43"/>
  <c r="A11" i="43"/>
  <c r="J10" i="43"/>
  <c r="I10" i="43"/>
  <c r="A10" i="43"/>
  <c r="J9" i="43"/>
  <c r="I9" i="43"/>
  <c r="A9" i="43"/>
  <c r="J8" i="43"/>
  <c r="I8" i="43"/>
  <c r="A8" i="43"/>
  <c r="J7" i="43"/>
  <c r="I7" i="43"/>
  <c r="A7" i="43"/>
  <c r="J5" i="43"/>
  <c r="I5" i="43"/>
  <c r="K5" i="43" s="1"/>
  <c r="A5" i="43"/>
  <c r="J4" i="43"/>
  <c r="I4" i="43"/>
  <c r="A4" i="43"/>
  <c r="J3" i="43"/>
  <c r="I3" i="43"/>
  <c r="A3" i="43"/>
  <c r="K1" i="43"/>
  <c r="J1" i="43"/>
  <c r="I1" i="43"/>
  <c r="H1" i="43"/>
  <c r="G1" i="43"/>
  <c r="E1" i="43"/>
  <c r="D1" i="43"/>
  <c r="C1" i="43"/>
  <c r="J19" i="42"/>
  <c r="I19" i="42"/>
  <c r="A19" i="42"/>
  <c r="J18" i="42"/>
  <c r="I18" i="42"/>
  <c r="A18" i="42"/>
  <c r="J17" i="42"/>
  <c r="I17" i="42"/>
  <c r="A17" i="42"/>
  <c r="H18" i="42"/>
  <c r="H158" i="2" s="1"/>
  <c r="H17" i="42"/>
  <c r="G158" i="2" s="1"/>
  <c r="H16" i="42"/>
  <c r="F158" i="2" s="1"/>
  <c r="J15" i="42"/>
  <c r="I15" i="42"/>
  <c r="H15" i="42"/>
  <c r="E158" i="2" s="1"/>
  <c r="A15" i="42"/>
  <c r="J14" i="42"/>
  <c r="I14" i="42"/>
  <c r="H14" i="42"/>
  <c r="H122" i="2" s="1"/>
  <c r="A14" i="42"/>
  <c r="H13" i="42"/>
  <c r="G122" i="2" s="1"/>
  <c r="J12" i="42"/>
  <c r="I12" i="42"/>
  <c r="H12" i="42"/>
  <c r="F122" i="2" s="1"/>
  <c r="A12" i="42"/>
  <c r="J11" i="42"/>
  <c r="I11" i="42"/>
  <c r="H11" i="42"/>
  <c r="E122" i="2" s="1"/>
  <c r="A11" i="42"/>
  <c r="J10" i="42"/>
  <c r="I10" i="42"/>
  <c r="H10" i="42"/>
  <c r="H91" i="2" s="1"/>
  <c r="A10" i="42"/>
  <c r="J9" i="42"/>
  <c r="I9" i="42"/>
  <c r="H9" i="42"/>
  <c r="G91" i="2" s="1"/>
  <c r="A9" i="42"/>
  <c r="J8" i="42"/>
  <c r="I8" i="42"/>
  <c r="H8" i="42"/>
  <c r="F91" i="2" s="1"/>
  <c r="A8" i="42"/>
  <c r="J7" i="42"/>
  <c r="I7" i="42"/>
  <c r="H7" i="42"/>
  <c r="E91" i="2" s="1"/>
  <c r="A7" i="42"/>
  <c r="J6" i="42"/>
  <c r="I6" i="42"/>
  <c r="A6" i="42"/>
  <c r="J5" i="42"/>
  <c r="I5" i="42"/>
  <c r="A5" i="42"/>
  <c r="J4" i="42"/>
  <c r="I4" i="42"/>
  <c r="H4" i="42"/>
  <c r="H24" i="3" s="1"/>
  <c r="A4" i="42"/>
  <c r="J3" i="42"/>
  <c r="I3" i="42"/>
  <c r="H3" i="42"/>
  <c r="G24" i="3" s="1"/>
  <c r="A3" i="42"/>
  <c r="H2" i="42"/>
  <c r="K1" i="42"/>
  <c r="J1" i="42"/>
  <c r="I1" i="42"/>
  <c r="H1" i="42"/>
  <c r="G1" i="42"/>
  <c r="H6" i="42" s="1"/>
  <c r="E1" i="42"/>
  <c r="D1" i="42"/>
  <c r="C1" i="42"/>
  <c r="H18" i="41"/>
  <c r="H17" i="41"/>
  <c r="H16" i="41"/>
  <c r="H15" i="41"/>
  <c r="J14" i="41"/>
  <c r="I14" i="41"/>
  <c r="H14" i="41"/>
  <c r="A14" i="41"/>
  <c r="J13" i="41"/>
  <c r="I13" i="41"/>
  <c r="K13" i="41" s="1"/>
  <c r="H13" i="41"/>
  <c r="A13" i="41"/>
  <c r="J12" i="41"/>
  <c r="I12" i="41"/>
  <c r="H12" i="41"/>
  <c r="A12" i="41"/>
  <c r="J11" i="41"/>
  <c r="I11" i="41"/>
  <c r="H11" i="41"/>
  <c r="A11" i="41"/>
  <c r="J10" i="41"/>
  <c r="I10" i="41"/>
  <c r="H10" i="41"/>
  <c r="A10" i="41"/>
  <c r="H9" i="41"/>
  <c r="J8" i="41"/>
  <c r="I8" i="41"/>
  <c r="H8" i="41"/>
  <c r="A8" i="41"/>
  <c r="J7" i="41"/>
  <c r="I7" i="41"/>
  <c r="H7" i="41"/>
  <c r="A7" i="41"/>
  <c r="J6" i="41"/>
  <c r="I6" i="41"/>
  <c r="A6" i="41"/>
  <c r="J5" i="41"/>
  <c r="I5" i="41"/>
  <c r="A5" i="41"/>
  <c r="J3" i="41"/>
  <c r="I3" i="41"/>
  <c r="A3" i="41"/>
  <c r="H2" i="41"/>
  <c r="K1" i="41"/>
  <c r="J1" i="41"/>
  <c r="I1" i="41"/>
  <c r="H1" i="41"/>
  <c r="G1" i="41"/>
  <c r="H3" i="41" s="1"/>
  <c r="E1" i="41"/>
  <c r="D1" i="41"/>
  <c r="C1" i="41"/>
  <c r="J20" i="40"/>
  <c r="K20" i="40" s="1"/>
  <c r="I20" i="40"/>
  <c r="A20" i="40"/>
  <c r="J19" i="40"/>
  <c r="I19" i="40"/>
  <c r="A19" i="40"/>
  <c r="J18" i="40"/>
  <c r="I18" i="40"/>
  <c r="H18" i="40"/>
  <c r="A18" i="40"/>
  <c r="J17" i="40"/>
  <c r="I17" i="40"/>
  <c r="H17" i="40"/>
  <c r="A17" i="40"/>
  <c r="J16" i="40"/>
  <c r="I16" i="40"/>
  <c r="H16" i="40"/>
  <c r="A16" i="40"/>
  <c r="J15" i="40"/>
  <c r="I15" i="40"/>
  <c r="H15" i="40"/>
  <c r="A15" i="40"/>
  <c r="J14" i="40"/>
  <c r="K14" i="40" s="1"/>
  <c r="I14" i="40"/>
  <c r="H14" i="40"/>
  <c r="A14" i="40"/>
  <c r="J13" i="40"/>
  <c r="I13" i="40"/>
  <c r="H13" i="40"/>
  <c r="A13" i="40"/>
  <c r="J12" i="40"/>
  <c r="I12" i="40"/>
  <c r="H12" i="40"/>
  <c r="A12" i="40"/>
  <c r="J11" i="40"/>
  <c r="I11" i="40"/>
  <c r="H11" i="40"/>
  <c r="A11" i="40"/>
  <c r="J10" i="40"/>
  <c r="I10" i="40"/>
  <c r="H10" i="40"/>
  <c r="A10" i="40"/>
  <c r="J9" i="40"/>
  <c r="I9" i="40"/>
  <c r="H9" i="40"/>
  <c r="A9" i="40"/>
  <c r="J8" i="40"/>
  <c r="I8" i="40"/>
  <c r="H8" i="40"/>
  <c r="A8" i="40"/>
  <c r="J7" i="40"/>
  <c r="I7" i="40"/>
  <c r="H7" i="40"/>
  <c r="A7" i="40"/>
  <c r="J6" i="40"/>
  <c r="I6" i="40"/>
  <c r="A6" i="40"/>
  <c r="J5" i="40"/>
  <c r="I5" i="40"/>
  <c r="A5" i="40"/>
  <c r="J4" i="40"/>
  <c r="I4" i="40"/>
  <c r="A4" i="40"/>
  <c r="J3" i="40"/>
  <c r="I3" i="40"/>
  <c r="A3" i="40"/>
  <c r="H2" i="40"/>
  <c r="K1" i="40"/>
  <c r="J1" i="40"/>
  <c r="I1" i="40"/>
  <c r="H1" i="40"/>
  <c r="G1" i="40"/>
  <c r="H3" i="40" s="1"/>
  <c r="E1" i="40"/>
  <c r="D1" i="40"/>
  <c r="C1" i="40"/>
  <c r="J102" i="39"/>
  <c r="I102" i="39"/>
  <c r="A102" i="39"/>
  <c r="J101" i="39"/>
  <c r="I101" i="39"/>
  <c r="A101" i="39"/>
  <c r="J100" i="39"/>
  <c r="I100" i="39"/>
  <c r="A100" i="39"/>
  <c r="J98" i="39"/>
  <c r="I98" i="39"/>
  <c r="A98" i="39"/>
  <c r="J97" i="39"/>
  <c r="I97" i="39"/>
  <c r="A97" i="39"/>
  <c r="J96" i="39"/>
  <c r="I96" i="39"/>
  <c r="A96" i="39"/>
  <c r="J95" i="39"/>
  <c r="I95" i="39"/>
  <c r="A95" i="39"/>
  <c r="J93" i="39"/>
  <c r="I93" i="39"/>
  <c r="A93" i="39"/>
  <c r="J92" i="39"/>
  <c r="I92" i="39"/>
  <c r="A92" i="39"/>
  <c r="J91" i="39"/>
  <c r="I91" i="39"/>
  <c r="A91" i="39"/>
  <c r="J89" i="39"/>
  <c r="I89" i="39"/>
  <c r="A89" i="39"/>
  <c r="J87" i="39"/>
  <c r="I87" i="39"/>
  <c r="A87" i="39"/>
  <c r="J86" i="39"/>
  <c r="I86" i="39"/>
  <c r="A86" i="39"/>
  <c r="J85" i="39"/>
  <c r="I85" i="39"/>
  <c r="A85" i="39"/>
  <c r="J84" i="39"/>
  <c r="I84" i="39"/>
  <c r="K84" i="39" s="1"/>
  <c r="A84" i="39"/>
  <c r="J83" i="39"/>
  <c r="I83" i="39"/>
  <c r="A83" i="39"/>
  <c r="J81" i="39"/>
  <c r="I81" i="39"/>
  <c r="A81" i="39"/>
  <c r="J80" i="39"/>
  <c r="I80" i="39"/>
  <c r="A80" i="39"/>
  <c r="J79" i="39"/>
  <c r="I79" i="39"/>
  <c r="A79" i="39"/>
  <c r="J78" i="39"/>
  <c r="I78" i="39"/>
  <c r="A78" i="39"/>
  <c r="J77" i="39"/>
  <c r="I77" i="39"/>
  <c r="A77" i="39"/>
  <c r="J76" i="39"/>
  <c r="I76" i="39"/>
  <c r="A76" i="39"/>
  <c r="J75" i="39"/>
  <c r="I75" i="39"/>
  <c r="A75" i="39"/>
  <c r="J74" i="39"/>
  <c r="I74" i="39"/>
  <c r="A74" i="39"/>
  <c r="J73" i="39"/>
  <c r="I73" i="39"/>
  <c r="A73" i="39"/>
  <c r="J72" i="39"/>
  <c r="I72" i="39"/>
  <c r="A72" i="39"/>
  <c r="J71" i="39"/>
  <c r="I71" i="39"/>
  <c r="A71" i="39"/>
  <c r="J70" i="39"/>
  <c r="I70" i="39"/>
  <c r="A70" i="39"/>
  <c r="J69" i="39"/>
  <c r="I69" i="39"/>
  <c r="K69" i="39" s="1"/>
  <c r="A69" i="39"/>
  <c r="J68" i="39"/>
  <c r="I68" i="39"/>
  <c r="A68" i="39"/>
  <c r="J67" i="39"/>
  <c r="I67" i="39"/>
  <c r="A67" i="39"/>
  <c r="J65" i="39"/>
  <c r="I65" i="39"/>
  <c r="A65" i="39"/>
  <c r="J64" i="39"/>
  <c r="I64" i="39"/>
  <c r="A64" i="39"/>
  <c r="J63" i="39"/>
  <c r="I63" i="39"/>
  <c r="A63" i="39"/>
  <c r="J62" i="39"/>
  <c r="I62" i="39"/>
  <c r="A62" i="39"/>
  <c r="J61" i="39"/>
  <c r="I61" i="39"/>
  <c r="A61" i="39"/>
  <c r="J60" i="39"/>
  <c r="I60" i="39"/>
  <c r="K60" i="39" s="1"/>
  <c r="A60" i="39"/>
  <c r="J59" i="39"/>
  <c r="I59" i="39"/>
  <c r="A59" i="39"/>
  <c r="J58" i="39"/>
  <c r="I58" i="39"/>
  <c r="A58" i="39"/>
  <c r="J57" i="39"/>
  <c r="I57" i="39"/>
  <c r="A57" i="39"/>
  <c r="J56" i="39"/>
  <c r="I56" i="39"/>
  <c r="A56" i="39"/>
  <c r="J55" i="39"/>
  <c r="I55" i="39"/>
  <c r="A55" i="39"/>
  <c r="J54" i="39"/>
  <c r="I54" i="39"/>
  <c r="A54" i="39"/>
  <c r="J53" i="39"/>
  <c r="I53" i="39"/>
  <c r="A53" i="39"/>
  <c r="J51" i="39"/>
  <c r="I51" i="39"/>
  <c r="A51" i="39"/>
  <c r="J50" i="39"/>
  <c r="I50" i="39"/>
  <c r="A50" i="39"/>
  <c r="J49" i="39"/>
  <c r="I49" i="39"/>
  <c r="A49" i="39"/>
  <c r="J48" i="39"/>
  <c r="I48" i="39"/>
  <c r="A48" i="39"/>
  <c r="J47" i="39"/>
  <c r="I47" i="39"/>
  <c r="A47" i="39"/>
  <c r="J46" i="39"/>
  <c r="I46" i="39"/>
  <c r="A46" i="39"/>
  <c r="J45" i="39"/>
  <c r="I45" i="39"/>
  <c r="K45" i="39" s="1"/>
  <c r="A45" i="39"/>
  <c r="J44" i="39"/>
  <c r="I44" i="39"/>
  <c r="A44" i="39"/>
  <c r="J43" i="39"/>
  <c r="I43" i="39"/>
  <c r="A43" i="39"/>
  <c r="J41" i="39"/>
  <c r="I41" i="39"/>
  <c r="A41" i="39"/>
  <c r="J40" i="39"/>
  <c r="I40" i="39"/>
  <c r="A40" i="39"/>
  <c r="J39" i="39"/>
  <c r="I39" i="39"/>
  <c r="A39" i="39"/>
  <c r="J38" i="39"/>
  <c r="I38" i="39"/>
  <c r="A38" i="39"/>
  <c r="J37" i="39"/>
  <c r="I37" i="39"/>
  <c r="A37" i="39"/>
  <c r="J36" i="39"/>
  <c r="I36" i="39"/>
  <c r="K36" i="39" s="1"/>
  <c r="A36" i="39"/>
  <c r="J35" i="39"/>
  <c r="I35" i="39"/>
  <c r="A35" i="39"/>
  <c r="J34" i="39"/>
  <c r="I34" i="39"/>
  <c r="A34" i="39"/>
  <c r="J33" i="39"/>
  <c r="I33" i="39"/>
  <c r="A33" i="39"/>
  <c r="J32" i="39"/>
  <c r="I32" i="39"/>
  <c r="A32" i="39"/>
  <c r="J31" i="39"/>
  <c r="I31" i="39"/>
  <c r="A31" i="39"/>
  <c r="J30" i="39"/>
  <c r="I30" i="39"/>
  <c r="A30" i="39"/>
  <c r="J28" i="39"/>
  <c r="I28" i="39"/>
  <c r="A28" i="39"/>
  <c r="J27" i="39"/>
  <c r="I27" i="39"/>
  <c r="A27" i="39"/>
  <c r="J26" i="39"/>
  <c r="I26" i="39"/>
  <c r="A26" i="39"/>
  <c r="J25" i="39"/>
  <c r="I25" i="39"/>
  <c r="A25" i="39"/>
  <c r="J24" i="39"/>
  <c r="I24" i="39"/>
  <c r="A24" i="39"/>
  <c r="J22" i="39"/>
  <c r="I22" i="39"/>
  <c r="A22" i="39"/>
  <c r="J21" i="39"/>
  <c r="I21" i="39"/>
  <c r="A21" i="39"/>
  <c r="J20" i="39"/>
  <c r="I20" i="39"/>
  <c r="K20" i="39" s="1"/>
  <c r="A20" i="39"/>
  <c r="J19" i="39"/>
  <c r="I19" i="39"/>
  <c r="A19" i="39"/>
  <c r="H18" i="39"/>
  <c r="H157" i="2" s="1"/>
  <c r="J17" i="39"/>
  <c r="I17" i="39"/>
  <c r="H17" i="39"/>
  <c r="G157" i="2" s="1"/>
  <c r="A17" i="39"/>
  <c r="J16" i="39"/>
  <c r="I16" i="39"/>
  <c r="H16" i="39"/>
  <c r="F157" i="2" s="1"/>
  <c r="A16" i="39"/>
  <c r="J15" i="39"/>
  <c r="I15" i="39"/>
  <c r="H15" i="39"/>
  <c r="E157" i="2" s="1"/>
  <c r="A15" i="39"/>
  <c r="J14" i="39"/>
  <c r="I14" i="39"/>
  <c r="H14" i="39"/>
  <c r="H121" i="2" s="1"/>
  <c r="A14" i="39"/>
  <c r="J13" i="39"/>
  <c r="K13" i="39" s="1"/>
  <c r="I13" i="39"/>
  <c r="H13" i="39"/>
  <c r="G121" i="2" s="1"/>
  <c r="A13" i="39"/>
  <c r="J12" i="39"/>
  <c r="I12" i="39"/>
  <c r="H12" i="39"/>
  <c r="F121" i="2" s="1"/>
  <c r="A12" i="39"/>
  <c r="J11" i="39"/>
  <c r="I11" i="39"/>
  <c r="H11" i="39"/>
  <c r="E121" i="2" s="1"/>
  <c r="A11" i="39"/>
  <c r="J10" i="39"/>
  <c r="I10" i="39"/>
  <c r="H10" i="39"/>
  <c r="H90" i="2" s="1"/>
  <c r="A10" i="39"/>
  <c r="J9" i="39"/>
  <c r="I9" i="39"/>
  <c r="H9" i="39"/>
  <c r="G90" i="2" s="1"/>
  <c r="A9" i="39"/>
  <c r="H8" i="39"/>
  <c r="F90" i="2" s="1"/>
  <c r="J7" i="39"/>
  <c r="I7" i="39"/>
  <c r="H7" i="39"/>
  <c r="E90" i="2" s="1"/>
  <c r="A7" i="39"/>
  <c r="J6" i="39"/>
  <c r="I6" i="39"/>
  <c r="A6" i="39"/>
  <c r="J5" i="39"/>
  <c r="I5" i="39"/>
  <c r="A5" i="39"/>
  <c r="J4" i="39"/>
  <c r="I4" i="39"/>
  <c r="A4" i="39"/>
  <c r="A3" i="39"/>
  <c r="H2" i="39"/>
  <c r="K1" i="39"/>
  <c r="J1" i="39"/>
  <c r="I1" i="39"/>
  <c r="H1" i="39"/>
  <c r="G1" i="39"/>
  <c r="H6" i="39" s="1"/>
  <c r="H59" i="2" s="1"/>
  <c r="E1" i="39"/>
  <c r="D1" i="39"/>
  <c r="C1" i="39"/>
  <c r="J25" i="38"/>
  <c r="I25" i="38"/>
  <c r="J24" i="38"/>
  <c r="I24" i="38"/>
  <c r="J23" i="38"/>
  <c r="I23" i="38"/>
  <c r="J22" i="38"/>
  <c r="I22" i="38"/>
  <c r="J20" i="38"/>
  <c r="I20" i="38"/>
  <c r="J19" i="38"/>
  <c r="I19" i="38"/>
  <c r="J18" i="38"/>
  <c r="I18" i="38"/>
  <c r="H18" i="38"/>
  <c r="J17" i="38"/>
  <c r="I17" i="38"/>
  <c r="H17" i="38"/>
  <c r="H16" i="38"/>
  <c r="J15" i="38"/>
  <c r="I15" i="38"/>
  <c r="H15" i="38"/>
  <c r="J14" i="38"/>
  <c r="I14" i="38"/>
  <c r="H14" i="38"/>
  <c r="J13" i="38"/>
  <c r="I13" i="38"/>
  <c r="H13" i="38"/>
  <c r="J12" i="38"/>
  <c r="I12" i="38"/>
  <c r="H12" i="38"/>
  <c r="J11" i="38"/>
  <c r="I11" i="38"/>
  <c r="H11" i="38"/>
  <c r="H10" i="38"/>
  <c r="H9" i="38"/>
  <c r="J8" i="38"/>
  <c r="I8" i="38"/>
  <c r="H8" i="38"/>
  <c r="J7" i="38"/>
  <c r="I7" i="38"/>
  <c r="H7" i="38"/>
  <c r="J6" i="38"/>
  <c r="I6" i="38"/>
  <c r="J5" i="38"/>
  <c r="I5" i="38"/>
  <c r="J4" i="38"/>
  <c r="I4" i="38"/>
  <c r="H2" i="38"/>
  <c r="K1" i="38"/>
  <c r="J1" i="38"/>
  <c r="I1" i="38"/>
  <c r="H1" i="38"/>
  <c r="G1" i="38"/>
  <c r="E1" i="38"/>
  <c r="D1" i="38"/>
  <c r="C1" i="38"/>
  <c r="H18" i="37"/>
  <c r="H17" i="37"/>
  <c r="H16" i="37"/>
  <c r="H15" i="37"/>
  <c r="H14" i="37"/>
  <c r="H13" i="37"/>
  <c r="H12" i="37"/>
  <c r="H11" i="37"/>
  <c r="H10" i="37"/>
  <c r="H9" i="37"/>
  <c r="H8" i="37"/>
  <c r="J7" i="37"/>
  <c r="I7" i="37"/>
  <c r="H7" i="37"/>
  <c r="J6" i="37"/>
  <c r="I6" i="37"/>
  <c r="J5" i="37"/>
  <c r="I5" i="37"/>
  <c r="J4" i="37"/>
  <c r="I4" i="37"/>
  <c r="H2" i="37"/>
  <c r="K1" i="37"/>
  <c r="J1" i="37"/>
  <c r="I1" i="37"/>
  <c r="H1" i="37"/>
  <c r="G1" i="37"/>
  <c r="H5" i="37" s="1"/>
  <c r="E1" i="37"/>
  <c r="D1" i="37"/>
  <c r="C1" i="37"/>
  <c r="J25" i="36"/>
  <c r="I25" i="36"/>
  <c r="J24" i="36"/>
  <c r="I24" i="36"/>
  <c r="J23" i="36"/>
  <c r="I23" i="36"/>
  <c r="J22" i="36"/>
  <c r="I22" i="36"/>
  <c r="J20" i="36"/>
  <c r="I20" i="36"/>
  <c r="J19" i="36"/>
  <c r="I19" i="36"/>
  <c r="J18" i="36"/>
  <c r="I18" i="36"/>
  <c r="H18" i="36"/>
  <c r="J17" i="36"/>
  <c r="I17" i="36"/>
  <c r="H17" i="36"/>
  <c r="H16" i="36"/>
  <c r="J15" i="36"/>
  <c r="I15" i="36"/>
  <c r="K15" i="36" s="1"/>
  <c r="H15" i="36"/>
  <c r="J14" i="36"/>
  <c r="I14" i="36"/>
  <c r="H14" i="36"/>
  <c r="J13" i="36"/>
  <c r="I13" i="36"/>
  <c r="H13" i="36"/>
  <c r="J12" i="36"/>
  <c r="I12" i="36"/>
  <c r="H12" i="36"/>
  <c r="J11" i="36"/>
  <c r="I11" i="36"/>
  <c r="H11" i="36"/>
  <c r="J10" i="36"/>
  <c r="I10" i="36"/>
  <c r="H10" i="36"/>
  <c r="H9" i="36"/>
  <c r="J8" i="36"/>
  <c r="I8" i="36"/>
  <c r="H8" i="36"/>
  <c r="J7" i="36"/>
  <c r="I7" i="36"/>
  <c r="H7" i="36"/>
  <c r="J6" i="36"/>
  <c r="I6" i="36"/>
  <c r="J5" i="36"/>
  <c r="I5" i="36"/>
  <c r="J4" i="36"/>
  <c r="I4" i="36"/>
  <c r="J3" i="36"/>
  <c r="I3" i="36"/>
  <c r="H2" i="36"/>
  <c r="K1" i="36"/>
  <c r="J1" i="36"/>
  <c r="I1" i="36"/>
  <c r="H1" i="36"/>
  <c r="G1" i="36"/>
  <c r="H5" i="36" s="1"/>
  <c r="E1" i="36"/>
  <c r="D1" i="36"/>
  <c r="C1" i="36"/>
  <c r="H156" i="2"/>
  <c r="G156" i="2"/>
  <c r="F156" i="2"/>
  <c r="E156" i="2"/>
  <c r="J95" i="33"/>
  <c r="I95" i="33"/>
  <c r="A95" i="33"/>
  <c r="J94" i="33"/>
  <c r="I94" i="33"/>
  <c r="K94" i="33" s="1"/>
  <c r="A94" i="33"/>
  <c r="J93" i="33"/>
  <c r="I93" i="33"/>
  <c r="A93" i="33"/>
  <c r="J92" i="33"/>
  <c r="I92" i="33"/>
  <c r="A92" i="33"/>
  <c r="J90" i="33"/>
  <c r="I90" i="33"/>
  <c r="A90" i="33"/>
  <c r="J89" i="33"/>
  <c r="I89" i="33"/>
  <c r="A89" i="33"/>
  <c r="J88" i="33"/>
  <c r="I88" i="33"/>
  <c r="A88" i="33"/>
  <c r="J87" i="33"/>
  <c r="I87" i="33"/>
  <c r="A87" i="33"/>
  <c r="J85" i="33"/>
  <c r="I85" i="33"/>
  <c r="A85" i="33"/>
  <c r="J84" i="33"/>
  <c r="I84" i="33"/>
  <c r="A84" i="33"/>
  <c r="J83" i="33"/>
  <c r="I83" i="33"/>
  <c r="A83" i="33"/>
  <c r="J82" i="33"/>
  <c r="I82" i="33"/>
  <c r="A82" i="33"/>
  <c r="J81" i="33"/>
  <c r="I81" i="33"/>
  <c r="A81" i="33"/>
  <c r="J79" i="33"/>
  <c r="I79" i="33"/>
  <c r="A79" i="33"/>
  <c r="J77" i="33"/>
  <c r="I77" i="33"/>
  <c r="A77" i="33"/>
  <c r="J76" i="33"/>
  <c r="I76" i="33"/>
  <c r="A76" i="33"/>
  <c r="J75" i="33"/>
  <c r="I75" i="33"/>
  <c r="A75" i="33"/>
  <c r="J73" i="33"/>
  <c r="I73" i="33"/>
  <c r="A73" i="33"/>
  <c r="J72" i="33"/>
  <c r="I72" i="33"/>
  <c r="A72" i="33"/>
  <c r="J71" i="33"/>
  <c r="I71" i="33"/>
  <c r="A71" i="33"/>
  <c r="J70" i="33"/>
  <c r="I70" i="33"/>
  <c r="A70" i="33"/>
  <c r="J69" i="33"/>
  <c r="I69" i="33"/>
  <c r="A69" i="33"/>
  <c r="J68" i="33"/>
  <c r="I68" i="33"/>
  <c r="A68" i="33"/>
  <c r="J67" i="33"/>
  <c r="I67" i="33"/>
  <c r="K67" i="33" s="1"/>
  <c r="A67" i="33"/>
  <c r="J66" i="33"/>
  <c r="I66" i="33"/>
  <c r="A66" i="33"/>
  <c r="J65" i="33"/>
  <c r="I65" i="33"/>
  <c r="A65" i="33"/>
  <c r="J64" i="33"/>
  <c r="I64" i="33"/>
  <c r="A64" i="33"/>
  <c r="J63" i="33"/>
  <c r="I63" i="33"/>
  <c r="A63" i="33"/>
  <c r="J62" i="33"/>
  <c r="I62" i="33"/>
  <c r="A62" i="33"/>
  <c r="J61" i="33"/>
  <c r="I61" i="33"/>
  <c r="A61" i="33"/>
  <c r="J60" i="33"/>
  <c r="I60" i="33"/>
  <c r="A60" i="33"/>
  <c r="J58" i="33"/>
  <c r="I58" i="33"/>
  <c r="A58" i="33"/>
  <c r="J56" i="33"/>
  <c r="I56" i="33"/>
  <c r="A56" i="33"/>
  <c r="J55" i="33"/>
  <c r="I55" i="33"/>
  <c r="A55" i="33"/>
  <c r="J54" i="33"/>
  <c r="I54" i="33"/>
  <c r="A54" i="33"/>
  <c r="J53" i="33"/>
  <c r="I53" i="33"/>
  <c r="A53" i="33"/>
  <c r="J51" i="33"/>
  <c r="I51" i="33"/>
  <c r="A51" i="33"/>
  <c r="J50" i="33"/>
  <c r="I50" i="33"/>
  <c r="A50" i="33"/>
  <c r="J49" i="33"/>
  <c r="I49" i="33"/>
  <c r="A49" i="33"/>
  <c r="J48" i="33"/>
  <c r="I48" i="33"/>
  <c r="A48" i="33"/>
  <c r="J46" i="33"/>
  <c r="I46" i="33"/>
  <c r="A46" i="33"/>
  <c r="J45" i="33"/>
  <c r="I45" i="33"/>
  <c r="A45" i="33"/>
  <c r="J44" i="33"/>
  <c r="I44" i="33"/>
  <c r="A44" i="33"/>
  <c r="J42" i="33"/>
  <c r="I42" i="33"/>
  <c r="A42" i="33"/>
  <c r="J40" i="33"/>
  <c r="I40" i="33"/>
  <c r="A40" i="33"/>
  <c r="J39" i="33"/>
  <c r="I39" i="33"/>
  <c r="A39" i="33"/>
  <c r="J38" i="33"/>
  <c r="I38" i="33"/>
  <c r="A38" i="33"/>
  <c r="J37" i="33"/>
  <c r="I37" i="33"/>
  <c r="A37" i="33"/>
  <c r="J36" i="33"/>
  <c r="I36" i="33"/>
  <c r="A36" i="33"/>
  <c r="J35" i="33"/>
  <c r="I35" i="33"/>
  <c r="A35" i="33"/>
  <c r="J34" i="33"/>
  <c r="I34" i="33"/>
  <c r="A34" i="33"/>
  <c r="J33" i="33"/>
  <c r="I33" i="33"/>
  <c r="A33" i="33"/>
  <c r="J32" i="33"/>
  <c r="I32" i="33"/>
  <c r="A32" i="33"/>
  <c r="J31" i="33"/>
  <c r="I31" i="33"/>
  <c r="A31" i="33"/>
  <c r="J30" i="33"/>
  <c r="I30" i="33"/>
  <c r="A30" i="33"/>
  <c r="J29" i="33"/>
  <c r="I29" i="33"/>
  <c r="A29" i="33"/>
  <c r="J28" i="33"/>
  <c r="I28" i="33"/>
  <c r="A28" i="33"/>
  <c r="J27" i="33"/>
  <c r="I27" i="33"/>
  <c r="A27" i="33"/>
  <c r="J26" i="33"/>
  <c r="I26" i="33"/>
  <c r="A26" i="33"/>
  <c r="J24" i="33"/>
  <c r="I24" i="33"/>
  <c r="A24" i="33"/>
  <c r="J23" i="33"/>
  <c r="I23" i="33"/>
  <c r="A23" i="33"/>
  <c r="J22" i="33"/>
  <c r="I22" i="33"/>
  <c r="A22" i="33"/>
  <c r="J21" i="33"/>
  <c r="I21" i="33"/>
  <c r="A21" i="33"/>
  <c r="J20" i="33"/>
  <c r="I20" i="33"/>
  <c r="A20" i="33"/>
  <c r="J19" i="33"/>
  <c r="I19" i="33"/>
  <c r="A19" i="33"/>
  <c r="H18" i="33"/>
  <c r="H154" i="2" s="1"/>
  <c r="J17" i="33"/>
  <c r="I17" i="33"/>
  <c r="H17" i="33"/>
  <c r="G154" i="2" s="1"/>
  <c r="A17" i="33"/>
  <c r="H16" i="33"/>
  <c r="F154" i="2" s="1"/>
  <c r="J15" i="33"/>
  <c r="I15" i="33"/>
  <c r="H15" i="33"/>
  <c r="E154" i="2" s="1"/>
  <c r="A15" i="33"/>
  <c r="J14" i="33"/>
  <c r="I14" i="33"/>
  <c r="H14" i="33"/>
  <c r="H119" i="2" s="1"/>
  <c r="A14" i="33"/>
  <c r="J13" i="33"/>
  <c r="I13" i="33"/>
  <c r="H13" i="33"/>
  <c r="G119" i="2" s="1"/>
  <c r="A13" i="33"/>
  <c r="J12" i="33"/>
  <c r="I12" i="33"/>
  <c r="H12" i="33"/>
  <c r="F119" i="2" s="1"/>
  <c r="A12" i="33"/>
  <c r="H11" i="33"/>
  <c r="E119" i="2" s="1"/>
  <c r="J10" i="33"/>
  <c r="I10" i="33"/>
  <c r="H10" i="33"/>
  <c r="H88" i="2" s="1"/>
  <c r="A10" i="33"/>
  <c r="H9" i="33"/>
  <c r="G88" i="2" s="1"/>
  <c r="J8" i="33"/>
  <c r="I8" i="33"/>
  <c r="H8" i="33"/>
  <c r="F88" i="2" s="1"/>
  <c r="A8" i="33"/>
  <c r="J7" i="33"/>
  <c r="I7" i="33"/>
  <c r="H7" i="33"/>
  <c r="E88" i="2" s="1"/>
  <c r="A7" i="33"/>
  <c r="J6" i="33"/>
  <c r="I6" i="33"/>
  <c r="A6" i="33"/>
  <c r="J5" i="33"/>
  <c r="I5" i="33"/>
  <c r="A5" i="33"/>
  <c r="J3" i="33"/>
  <c r="I3" i="33"/>
  <c r="A3" i="33"/>
  <c r="H2" i="33"/>
  <c r="K1" i="33"/>
  <c r="J1" i="33"/>
  <c r="I1" i="33"/>
  <c r="H1" i="33"/>
  <c r="G1" i="33"/>
  <c r="H5" i="33" s="1"/>
  <c r="I20" i="3" s="1"/>
  <c r="E1" i="33"/>
  <c r="D1" i="33"/>
  <c r="C1" i="33"/>
  <c r="J32" i="32"/>
  <c r="I32" i="32"/>
  <c r="A32" i="32"/>
  <c r="J31" i="32"/>
  <c r="I31" i="32"/>
  <c r="K31" i="32" s="1"/>
  <c r="A31" i="32"/>
  <c r="J30" i="32"/>
  <c r="I30" i="32"/>
  <c r="A30" i="32"/>
  <c r="J29" i="32"/>
  <c r="I29" i="32"/>
  <c r="A29" i="32"/>
  <c r="J27" i="32"/>
  <c r="I27" i="32"/>
  <c r="A27" i="32"/>
  <c r="J26" i="32"/>
  <c r="I26" i="32"/>
  <c r="A26" i="32"/>
  <c r="J25" i="32"/>
  <c r="I25" i="32"/>
  <c r="A25" i="32"/>
  <c r="J24" i="32"/>
  <c r="I24" i="32"/>
  <c r="A24" i="32"/>
  <c r="J22" i="32"/>
  <c r="I22" i="32"/>
  <c r="A22" i="32"/>
  <c r="J21" i="32"/>
  <c r="I21" i="32"/>
  <c r="A21" i="32"/>
  <c r="J20" i="32"/>
  <c r="I20" i="32"/>
  <c r="A20" i="32"/>
  <c r="J19" i="32"/>
  <c r="I19" i="32"/>
  <c r="A19" i="32"/>
  <c r="J18" i="32"/>
  <c r="I18" i="32"/>
  <c r="H18" i="32"/>
  <c r="A18" i="32"/>
  <c r="J17" i="32"/>
  <c r="I17" i="32"/>
  <c r="H17" i="32"/>
  <c r="A17" i="32"/>
  <c r="J16" i="32"/>
  <c r="I16" i="32"/>
  <c r="H16" i="32"/>
  <c r="A16" i="32"/>
  <c r="H15" i="32"/>
  <c r="J14" i="32"/>
  <c r="I14" i="32"/>
  <c r="H14" i="32"/>
  <c r="A14" i="32"/>
  <c r="J13" i="32"/>
  <c r="I13" i="32"/>
  <c r="H13" i="32"/>
  <c r="A13" i="32"/>
  <c r="J12" i="32"/>
  <c r="I12" i="32"/>
  <c r="H12" i="32"/>
  <c r="A12" i="32"/>
  <c r="J11" i="32"/>
  <c r="I11" i="32"/>
  <c r="H11" i="32"/>
  <c r="A11" i="32"/>
  <c r="H10" i="32"/>
  <c r="A10" i="32"/>
  <c r="J9" i="32"/>
  <c r="I9" i="32"/>
  <c r="H9" i="32"/>
  <c r="A9" i="32"/>
  <c r="J8" i="32"/>
  <c r="I8" i="32"/>
  <c r="H8" i="32"/>
  <c r="A8" i="32"/>
  <c r="J7" i="32"/>
  <c r="I7" i="32"/>
  <c r="H7" i="32"/>
  <c r="A7" i="32"/>
  <c r="J6" i="32"/>
  <c r="I6" i="32"/>
  <c r="A6" i="32"/>
  <c r="J5" i="32"/>
  <c r="I5" i="32"/>
  <c r="A5" i="32"/>
  <c r="J3" i="32"/>
  <c r="I3" i="32"/>
  <c r="K3" i="32" s="1"/>
  <c r="A3" i="32"/>
  <c r="H2" i="32"/>
  <c r="K1" i="32"/>
  <c r="J1" i="32"/>
  <c r="I1" i="32"/>
  <c r="H1" i="32"/>
  <c r="G1" i="32"/>
  <c r="H3" i="32" s="1"/>
  <c r="E1" i="32"/>
  <c r="D1" i="32"/>
  <c r="C1" i="32"/>
  <c r="J26" i="31"/>
  <c r="I26" i="31"/>
  <c r="A26" i="31"/>
  <c r="J25" i="31"/>
  <c r="I25" i="31"/>
  <c r="A25" i="31"/>
  <c r="J24" i="31"/>
  <c r="I24" i="31"/>
  <c r="A24" i="31"/>
  <c r="J23" i="31"/>
  <c r="I23" i="31"/>
  <c r="A23" i="31"/>
  <c r="J21" i="31"/>
  <c r="I21" i="31"/>
  <c r="A21" i="31"/>
  <c r="J20" i="31"/>
  <c r="I20" i="31"/>
  <c r="A20" i="31"/>
  <c r="J19" i="31"/>
  <c r="I19" i="31"/>
  <c r="A19" i="31"/>
  <c r="J18" i="31"/>
  <c r="I18" i="31"/>
  <c r="A18" i="31"/>
  <c r="J17" i="31"/>
  <c r="I17" i="31"/>
  <c r="A17" i="31"/>
  <c r="J15" i="31"/>
  <c r="I15" i="31"/>
  <c r="A15" i="31"/>
  <c r="H18" i="31"/>
  <c r="H153" i="2" s="1"/>
  <c r="H17" i="31"/>
  <c r="G153" i="2" s="1"/>
  <c r="H16" i="31"/>
  <c r="F153" i="2" s="1"/>
  <c r="H15" i="31"/>
  <c r="E153" i="2" s="1"/>
  <c r="J14" i="31"/>
  <c r="I14" i="31"/>
  <c r="H14" i="31"/>
  <c r="H118" i="2" s="1"/>
  <c r="A14" i="31"/>
  <c r="J13" i="31"/>
  <c r="I13" i="31"/>
  <c r="H13" i="31"/>
  <c r="G118" i="2" s="1"/>
  <c r="A13" i="31"/>
  <c r="H12" i="31"/>
  <c r="F118" i="2" s="1"/>
  <c r="H11" i="31"/>
  <c r="E118" i="2" s="1"/>
  <c r="A11" i="31"/>
  <c r="J10" i="31"/>
  <c r="I10" i="31"/>
  <c r="H10" i="31"/>
  <c r="H87" i="2" s="1"/>
  <c r="A10" i="31"/>
  <c r="J9" i="31"/>
  <c r="I9" i="31"/>
  <c r="H9" i="31"/>
  <c r="G87" i="2" s="1"/>
  <c r="A9" i="31"/>
  <c r="H8" i="31"/>
  <c r="F87" i="2" s="1"/>
  <c r="J7" i="31"/>
  <c r="I7" i="31"/>
  <c r="H7" i="31"/>
  <c r="E87" i="2" s="1"/>
  <c r="A7" i="31"/>
  <c r="J6" i="31"/>
  <c r="I6" i="31"/>
  <c r="A6" i="31"/>
  <c r="J5" i="31"/>
  <c r="I5" i="31"/>
  <c r="A5" i="31"/>
  <c r="I3" i="31"/>
  <c r="K3" i="31" s="1"/>
  <c r="A3" i="31"/>
  <c r="H2" i="31"/>
  <c r="F19" i="3" s="1"/>
  <c r="K1" i="31"/>
  <c r="J1" i="31"/>
  <c r="I1" i="31"/>
  <c r="G1" i="31"/>
  <c r="H5" i="31" s="1"/>
  <c r="E1" i="31"/>
  <c r="D1" i="31"/>
  <c r="C1" i="31"/>
  <c r="J26" i="30"/>
  <c r="I26" i="30"/>
  <c r="A26" i="30"/>
  <c r="J25" i="30"/>
  <c r="I25" i="30"/>
  <c r="A25" i="30"/>
  <c r="J24" i="30"/>
  <c r="I24" i="30"/>
  <c r="A24" i="30"/>
  <c r="J23" i="30"/>
  <c r="I23" i="30"/>
  <c r="A23" i="30"/>
  <c r="J21" i="30"/>
  <c r="I21" i="30"/>
  <c r="A21" i="30"/>
  <c r="J20" i="30"/>
  <c r="I20" i="30"/>
  <c r="A20" i="30"/>
  <c r="J19" i="30"/>
  <c r="I19" i="30"/>
  <c r="A19" i="30"/>
  <c r="J18" i="30"/>
  <c r="I18" i="30"/>
  <c r="H18" i="30"/>
  <c r="A18" i="30"/>
  <c r="J17" i="30"/>
  <c r="I17" i="30"/>
  <c r="H17" i="30"/>
  <c r="A17" i="30"/>
  <c r="J16" i="30"/>
  <c r="I16" i="30"/>
  <c r="H16" i="30"/>
  <c r="A16" i="30"/>
  <c r="J15" i="30"/>
  <c r="I15" i="30"/>
  <c r="H15" i="30"/>
  <c r="A15" i="30"/>
  <c r="J14" i="30"/>
  <c r="I14" i="30"/>
  <c r="H14" i="30"/>
  <c r="A14" i="30"/>
  <c r="J13" i="30"/>
  <c r="I13" i="30"/>
  <c r="H13" i="30"/>
  <c r="A13" i="30"/>
  <c r="J12" i="30"/>
  <c r="I12" i="30"/>
  <c r="H12" i="30"/>
  <c r="A12" i="30"/>
  <c r="J11" i="30"/>
  <c r="K11" i="30" s="1"/>
  <c r="I11" i="30"/>
  <c r="H11" i="30"/>
  <c r="A11" i="30"/>
  <c r="J10" i="30"/>
  <c r="I10" i="30"/>
  <c r="H10" i="30"/>
  <c r="A10" i="30"/>
  <c r="H9" i="30"/>
  <c r="J8" i="30"/>
  <c r="I8" i="30"/>
  <c r="H8" i="30"/>
  <c r="A8" i="30"/>
  <c r="J7" i="30"/>
  <c r="I7" i="30"/>
  <c r="H7" i="30"/>
  <c r="A7" i="30"/>
  <c r="J6" i="30"/>
  <c r="I6" i="30"/>
  <c r="A6" i="30"/>
  <c r="J4" i="30"/>
  <c r="I4" i="30"/>
  <c r="A4" i="30"/>
  <c r="J3" i="30"/>
  <c r="I3" i="30"/>
  <c r="A3" i="30"/>
  <c r="H2" i="30"/>
  <c r="K1" i="30"/>
  <c r="J1" i="30"/>
  <c r="I1" i="30"/>
  <c r="H1" i="30"/>
  <c r="G1" i="30"/>
  <c r="H3" i="30" s="1"/>
  <c r="E1" i="30"/>
  <c r="D1" i="30"/>
  <c r="C1" i="30"/>
  <c r="J132" i="29"/>
  <c r="I132" i="29"/>
  <c r="A132" i="29"/>
  <c r="J131" i="29"/>
  <c r="I131" i="29"/>
  <c r="A131" i="29"/>
  <c r="J130" i="29"/>
  <c r="I130" i="29"/>
  <c r="A130" i="29"/>
  <c r="J128" i="29"/>
  <c r="K128" i="29" s="1"/>
  <c r="I128" i="29"/>
  <c r="A128" i="29"/>
  <c r="J127" i="29"/>
  <c r="I127" i="29"/>
  <c r="A127" i="29"/>
  <c r="J126" i="29"/>
  <c r="I126" i="29"/>
  <c r="A126" i="29"/>
  <c r="J125" i="29"/>
  <c r="I125" i="29"/>
  <c r="A125" i="29"/>
  <c r="J123" i="29"/>
  <c r="I123" i="29"/>
  <c r="A123" i="29"/>
  <c r="J122" i="29"/>
  <c r="I122" i="29"/>
  <c r="A122" i="29"/>
  <c r="J121" i="29"/>
  <c r="I121" i="29"/>
  <c r="A121" i="29"/>
  <c r="J120" i="29"/>
  <c r="I120" i="29"/>
  <c r="A120" i="29"/>
  <c r="J119" i="29"/>
  <c r="I119" i="29"/>
  <c r="A119" i="29"/>
  <c r="J118" i="29"/>
  <c r="I118" i="29"/>
  <c r="A118" i="29"/>
  <c r="J117" i="29"/>
  <c r="I117" i="29"/>
  <c r="A117" i="29"/>
  <c r="J115" i="29"/>
  <c r="I115" i="29"/>
  <c r="A115" i="29"/>
  <c r="J114" i="29"/>
  <c r="I114" i="29"/>
  <c r="A114" i="29"/>
  <c r="J113" i="29"/>
  <c r="I113" i="29"/>
  <c r="A113" i="29"/>
  <c r="J111" i="29"/>
  <c r="I111" i="29"/>
  <c r="A111" i="29"/>
  <c r="J110" i="29"/>
  <c r="I110" i="29"/>
  <c r="A110" i="29"/>
  <c r="J109" i="29"/>
  <c r="I109" i="29"/>
  <c r="A109" i="29"/>
  <c r="J107" i="29"/>
  <c r="I107" i="29"/>
  <c r="A107" i="29"/>
  <c r="J106" i="29"/>
  <c r="I106" i="29"/>
  <c r="A106" i="29"/>
  <c r="J105" i="29"/>
  <c r="I105" i="29"/>
  <c r="A105" i="29"/>
  <c r="J104" i="29"/>
  <c r="I104" i="29"/>
  <c r="A104" i="29"/>
  <c r="J103" i="29"/>
  <c r="I103" i="29"/>
  <c r="A103" i="29"/>
  <c r="J102" i="29"/>
  <c r="I102" i="29"/>
  <c r="A102" i="29"/>
  <c r="J101" i="29"/>
  <c r="I101" i="29"/>
  <c r="A101" i="29"/>
  <c r="J100" i="29"/>
  <c r="I100" i="29"/>
  <c r="A100" i="29"/>
  <c r="J99" i="29"/>
  <c r="I99" i="29"/>
  <c r="A99" i="29"/>
  <c r="J98" i="29"/>
  <c r="I98" i="29"/>
  <c r="A98" i="29"/>
  <c r="J96" i="29"/>
  <c r="I96" i="29"/>
  <c r="A96" i="29"/>
  <c r="J95" i="29"/>
  <c r="I95" i="29"/>
  <c r="A95" i="29"/>
  <c r="J94" i="29"/>
  <c r="I94" i="29"/>
  <c r="A94" i="29"/>
  <c r="J92" i="29"/>
  <c r="I92" i="29"/>
  <c r="A92" i="29"/>
  <c r="J91" i="29"/>
  <c r="I91" i="29"/>
  <c r="A91" i="29"/>
  <c r="J90" i="29"/>
  <c r="I90" i="29"/>
  <c r="A90" i="29"/>
  <c r="J89" i="29"/>
  <c r="I89" i="29"/>
  <c r="A89" i="29"/>
  <c r="J88" i="29"/>
  <c r="I88" i="29"/>
  <c r="A88" i="29"/>
  <c r="J87" i="29"/>
  <c r="I87" i="29"/>
  <c r="A87" i="29"/>
  <c r="J86" i="29"/>
  <c r="I86" i="29"/>
  <c r="A86" i="29"/>
  <c r="J85" i="29"/>
  <c r="I85" i="29"/>
  <c r="A85" i="29"/>
  <c r="J84" i="29"/>
  <c r="I84" i="29"/>
  <c r="A84" i="29"/>
  <c r="J83" i="29"/>
  <c r="I83" i="29"/>
  <c r="A83" i="29"/>
  <c r="J82" i="29"/>
  <c r="I82" i="29"/>
  <c r="A82" i="29"/>
  <c r="J80" i="29"/>
  <c r="I80" i="29"/>
  <c r="K80" i="29" s="1"/>
  <c r="A80" i="29"/>
  <c r="J79" i="29"/>
  <c r="I79" i="29"/>
  <c r="A79" i="29"/>
  <c r="J78" i="29"/>
  <c r="I78" i="29"/>
  <c r="K78" i="29" s="1"/>
  <c r="A78" i="29"/>
  <c r="J77" i="29"/>
  <c r="I77" i="29"/>
  <c r="A77" i="29"/>
  <c r="J76" i="29"/>
  <c r="I76" i="29"/>
  <c r="A76" i="29"/>
  <c r="J75" i="29"/>
  <c r="I75" i="29"/>
  <c r="A75" i="29"/>
  <c r="J74" i="29"/>
  <c r="I74" i="29"/>
  <c r="A74" i="29"/>
  <c r="J73" i="29"/>
  <c r="I73" i="29"/>
  <c r="A73" i="29"/>
  <c r="J72" i="29"/>
  <c r="I72" i="29"/>
  <c r="A72" i="29"/>
  <c r="J71" i="29"/>
  <c r="I71" i="29"/>
  <c r="A71" i="29"/>
  <c r="J70" i="29"/>
  <c r="I70" i="29"/>
  <c r="A70" i="29"/>
  <c r="J69" i="29"/>
  <c r="I69" i="29"/>
  <c r="A69" i="29"/>
  <c r="J68" i="29"/>
  <c r="I68" i="29"/>
  <c r="A68" i="29"/>
  <c r="J67" i="29"/>
  <c r="I67" i="29"/>
  <c r="A67" i="29"/>
  <c r="J66" i="29"/>
  <c r="I66" i="29"/>
  <c r="A66" i="29"/>
  <c r="J65" i="29"/>
  <c r="I65" i="29"/>
  <c r="A65" i="29"/>
  <c r="J64" i="29"/>
  <c r="I64" i="29"/>
  <c r="A64" i="29"/>
  <c r="J63" i="29"/>
  <c r="I63" i="29"/>
  <c r="A63" i="29"/>
  <c r="J61" i="29"/>
  <c r="I61" i="29"/>
  <c r="A61" i="29"/>
  <c r="J60" i="29"/>
  <c r="I60" i="29"/>
  <c r="A60" i="29"/>
  <c r="J59" i="29"/>
  <c r="I59" i="29"/>
  <c r="A59" i="29"/>
  <c r="J58" i="29"/>
  <c r="I58" i="29"/>
  <c r="A58" i="29"/>
  <c r="J57" i="29"/>
  <c r="I57" i="29"/>
  <c r="K57" i="29" s="1"/>
  <c r="A57" i="29"/>
  <c r="J56" i="29"/>
  <c r="I56" i="29"/>
  <c r="A56" i="29"/>
  <c r="J55" i="29"/>
  <c r="I55" i="29"/>
  <c r="A55" i="29"/>
  <c r="J54" i="29"/>
  <c r="I54" i="29"/>
  <c r="A54" i="29"/>
  <c r="J53" i="29"/>
  <c r="I53" i="29"/>
  <c r="A53" i="29"/>
  <c r="J52" i="29"/>
  <c r="I52" i="29"/>
  <c r="A52" i="29"/>
  <c r="J50" i="29"/>
  <c r="I50" i="29"/>
  <c r="A50" i="29"/>
  <c r="J49" i="29"/>
  <c r="I49" i="29"/>
  <c r="A49" i="29"/>
  <c r="J48" i="29"/>
  <c r="I48" i="29"/>
  <c r="A48" i="29"/>
  <c r="J47" i="29"/>
  <c r="I47" i="29"/>
  <c r="A47" i="29"/>
  <c r="J46" i="29"/>
  <c r="I46" i="29"/>
  <c r="A46" i="29"/>
  <c r="J45" i="29"/>
  <c r="I45" i="29"/>
  <c r="A45" i="29"/>
  <c r="J44" i="29"/>
  <c r="I44" i="29"/>
  <c r="A44" i="29"/>
  <c r="J43" i="29"/>
  <c r="I43" i="29"/>
  <c r="A43" i="29"/>
  <c r="J42" i="29"/>
  <c r="I42" i="29"/>
  <c r="A42" i="29"/>
  <c r="J41" i="29"/>
  <c r="I41" i="29"/>
  <c r="A41" i="29"/>
  <c r="J40" i="29"/>
  <c r="I40" i="29"/>
  <c r="A40" i="29"/>
  <c r="J39" i="29"/>
  <c r="I39" i="29"/>
  <c r="A39" i="29"/>
  <c r="J38" i="29"/>
  <c r="I38" i="29"/>
  <c r="A38" i="29"/>
  <c r="J37" i="29"/>
  <c r="I37" i="29"/>
  <c r="A37" i="29"/>
  <c r="J36" i="29"/>
  <c r="I36" i="29"/>
  <c r="A36" i="29"/>
  <c r="J35" i="29"/>
  <c r="I35" i="29"/>
  <c r="A35" i="29"/>
  <c r="J34" i="29"/>
  <c r="I34" i="29"/>
  <c r="A34" i="29"/>
  <c r="J33" i="29"/>
  <c r="I33" i="29"/>
  <c r="A33" i="29"/>
  <c r="J32" i="29"/>
  <c r="I32" i="29"/>
  <c r="A32" i="29"/>
  <c r="J31" i="29"/>
  <c r="I31" i="29"/>
  <c r="A31" i="29"/>
  <c r="J30" i="29"/>
  <c r="I30" i="29"/>
  <c r="A30" i="29"/>
  <c r="J29" i="29"/>
  <c r="I29" i="29"/>
  <c r="A29" i="29"/>
  <c r="J28" i="29"/>
  <c r="I28" i="29"/>
  <c r="A28" i="29"/>
  <c r="J27" i="29"/>
  <c r="I27" i="29"/>
  <c r="A27" i="29"/>
  <c r="J26" i="29"/>
  <c r="I26" i="29"/>
  <c r="A26" i="29"/>
  <c r="J25" i="29"/>
  <c r="I25" i="29"/>
  <c r="A25" i="29"/>
  <c r="J24" i="29"/>
  <c r="I24" i="29"/>
  <c r="A24" i="29"/>
  <c r="J23" i="29"/>
  <c r="I23" i="29"/>
  <c r="A23" i="29"/>
  <c r="J22" i="29"/>
  <c r="I22" i="29"/>
  <c r="A22" i="29"/>
  <c r="J21" i="29"/>
  <c r="I21" i="29"/>
  <c r="A21" i="29"/>
  <c r="J20" i="29"/>
  <c r="I20" i="29"/>
  <c r="A20" i="29"/>
  <c r="J19" i="29"/>
  <c r="I19" i="29"/>
  <c r="A19" i="29"/>
  <c r="H18" i="29"/>
  <c r="J17" i="29"/>
  <c r="I17" i="29"/>
  <c r="H17" i="29"/>
  <c r="A17" i="29"/>
  <c r="J16" i="29"/>
  <c r="I16" i="29"/>
  <c r="H16" i="29"/>
  <c r="A16" i="29"/>
  <c r="J15" i="29"/>
  <c r="I15" i="29"/>
  <c r="H15" i="29"/>
  <c r="A15" i="29"/>
  <c r="H14" i="29"/>
  <c r="J13" i="29"/>
  <c r="I13" i="29"/>
  <c r="H13" i="29"/>
  <c r="A13" i="29"/>
  <c r="J12" i="29"/>
  <c r="I12" i="29"/>
  <c r="H12" i="29"/>
  <c r="A12" i="29"/>
  <c r="J11" i="29"/>
  <c r="I11" i="29"/>
  <c r="H11" i="29"/>
  <c r="A11" i="29"/>
  <c r="J10" i="29"/>
  <c r="I10" i="29"/>
  <c r="H10" i="29"/>
  <c r="A10" i="29"/>
  <c r="J9" i="29"/>
  <c r="I9" i="29"/>
  <c r="H9" i="29"/>
  <c r="A9" i="29"/>
  <c r="J8" i="29"/>
  <c r="I8" i="29"/>
  <c r="H8" i="29"/>
  <c r="A8" i="29"/>
  <c r="J7" i="29"/>
  <c r="I7" i="29"/>
  <c r="H7" i="29"/>
  <c r="A7" i="29"/>
  <c r="J6" i="29"/>
  <c r="I6" i="29"/>
  <c r="A6" i="29"/>
  <c r="J5" i="29"/>
  <c r="I5" i="29"/>
  <c r="A5" i="29"/>
  <c r="J4" i="29"/>
  <c r="I4" i="29"/>
  <c r="A4" i="29"/>
  <c r="J3" i="29"/>
  <c r="I3" i="29"/>
  <c r="A3" i="29"/>
  <c r="H2" i="29"/>
  <c r="K1" i="29"/>
  <c r="J1" i="29"/>
  <c r="I1" i="29"/>
  <c r="H1" i="29"/>
  <c r="G1" i="29"/>
  <c r="H4" i="29" s="1"/>
  <c r="E1" i="29"/>
  <c r="D1" i="29"/>
  <c r="C1" i="29"/>
  <c r="J53" i="28"/>
  <c r="I53" i="28"/>
  <c r="J52" i="28"/>
  <c r="I52" i="28"/>
  <c r="J51" i="28"/>
  <c r="I51" i="28"/>
  <c r="J49" i="28"/>
  <c r="I49" i="28"/>
  <c r="A49" i="28"/>
  <c r="J48" i="28"/>
  <c r="I48" i="28"/>
  <c r="A48" i="28"/>
  <c r="J47" i="28"/>
  <c r="I47" i="28"/>
  <c r="A47" i="28"/>
  <c r="J46" i="28"/>
  <c r="I46" i="28"/>
  <c r="J44" i="28"/>
  <c r="I44" i="28"/>
  <c r="J43" i="28"/>
  <c r="I43" i="28"/>
  <c r="A43" i="28"/>
  <c r="J42" i="28"/>
  <c r="I42" i="28"/>
  <c r="J40" i="28"/>
  <c r="I40" i="28"/>
  <c r="A40" i="28"/>
  <c r="J39" i="28"/>
  <c r="I39" i="28"/>
  <c r="A39" i="28"/>
  <c r="J38" i="28"/>
  <c r="I38" i="28"/>
  <c r="A38" i="28"/>
  <c r="J37" i="28"/>
  <c r="I37" i="28"/>
  <c r="A37" i="28"/>
  <c r="J36" i="28"/>
  <c r="I36" i="28"/>
  <c r="A36" i="28"/>
  <c r="J35" i="28"/>
  <c r="I35" i="28"/>
  <c r="A35" i="28"/>
  <c r="J34" i="28"/>
  <c r="I34" i="28"/>
  <c r="J32" i="28"/>
  <c r="I32" i="28"/>
  <c r="J31" i="28"/>
  <c r="I31" i="28"/>
  <c r="J30" i="28"/>
  <c r="I30" i="28"/>
  <c r="J28" i="28"/>
  <c r="I28" i="28"/>
  <c r="J27" i="28"/>
  <c r="I27" i="28"/>
  <c r="J26" i="28"/>
  <c r="I26" i="28"/>
  <c r="J25" i="28"/>
  <c r="I25" i="28"/>
  <c r="J24" i="28"/>
  <c r="I24" i="28"/>
  <c r="J23" i="28"/>
  <c r="I23" i="28"/>
  <c r="J22" i="28"/>
  <c r="I22" i="28"/>
  <c r="J21" i="28"/>
  <c r="I21" i="28"/>
  <c r="J20" i="28"/>
  <c r="I20" i="28"/>
  <c r="J19" i="28"/>
  <c r="I19" i="28"/>
  <c r="J18" i="28"/>
  <c r="I18" i="28"/>
  <c r="J17" i="28"/>
  <c r="I17" i="28"/>
  <c r="H18" i="28"/>
  <c r="H152" i="2" s="1"/>
  <c r="J16" i="28"/>
  <c r="I16" i="28"/>
  <c r="H17" i="28"/>
  <c r="G152" i="2" s="1"/>
  <c r="J15" i="28"/>
  <c r="I15" i="28"/>
  <c r="H16" i="28"/>
  <c r="F152" i="2" s="1"/>
  <c r="J14" i="28"/>
  <c r="I14" i="28"/>
  <c r="H15" i="28"/>
  <c r="E152" i="2" s="1"/>
  <c r="J13" i="28"/>
  <c r="I13" i="28"/>
  <c r="H14" i="28"/>
  <c r="H117" i="2" s="1"/>
  <c r="J12" i="28"/>
  <c r="I12" i="28"/>
  <c r="H13" i="28"/>
  <c r="G117" i="2" s="1"/>
  <c r="J11" i="28"/>
  <c r="I11" i="28"/>
  <c r="H12" i="28"/>
  <c r="F117" i="2" s="1"/>
  <c r="J10" i="28"/>
  <c r="I10" i="28"/>
  <c r="H11" i="28"/>
  <c r="E117" i="2" s="1"/>
  <c r="J9" i="28"/>
  <c r="I9" i="28"/>
  <c r="H10" i="28"/>
  <c r="H86" i="2" s="1"/>
  <c r="J8" i="28"/>
  <c r="I8" i="28"/>
  <c r="H9" i="28"/>
  <c r="G86" i="2" s="1"/>
  <c r="J7" i="28"/>
  <c r="I7" i="28"/>
  <c r="H8" i="28"/>
  <c r="F86" i="2" s="1"/>
  <c r="J6" i="28"/>
  <c r="I6" i="28"/>
  <c r="H7" i="28"/>
  <c r="E86" i="2" s="1"/>
  <c r="J5" i="28"/>
  <c r="I5" i="28"/>
  <c r="J4" i="28"/>
  <c r="I4" i="28"/>
  <c r="J3" i="28"/>
  <c r="I3" i="28"/>
  <c r="A3" i="28"/>
  <c r="H2" i="28"/>
  <c r="D55" i="2" s="1"/>
  <c r="K1" i="28"/>
  <c r="J1" i="28"/>
  <c r="I1" i="28"/>
  <c r="H1" i="28"/>
  <c r="G1" i="28"/>
  <c r="H6" i="28" s="1"/>
  <c r="J18" i="3" s="1"/>
  <c r="E1" i="28"/>
  <c r="D1" i="28"/>
  <c r="C1" i="28"/>
  <c r="H151" i="2"/>
  <c r="G151" i="2"/>
  <c r="F151" i="2"/>
  <c r="E151" i="2"/>
  <c r="J61" i="26"/>
  <c r="I61" i="26"/>
  <c r="A61" i="26"/>
  <c r="J60" i="26"/>
  <c r="I60" i="26"/>
  <c r="A60" i="26"/>
  <c r="J59" i="26"/>
  <c r="I59" i="26"/>
  <c r="A59" i="26"/>
  <c r="J57" i="26"/>
  <c r="I57" i="26"/>
  <c r="A57" i="26"/>
  <c r="J56" i="26"/>
  <c r="I56" i="26"/>
  <c r="A56" i="26"/>
  <c r="J55" i="26"/>
  <c r="I55" i="26"/>
  <c r="A55" i="26"/>
  <c r="J54" i="26"/>
  <c r="I54" i="26"/>
  <c r="A54" i="26"/>
  <c r="J52" i="26"/>
  <c r="I52" i="26"/>
  <c r="A52" i="26"/>
  <c r="J51" i="26"/>
  <c r="I51" i="26"/>
  <c r="A51" i="26"/>
  <c r="J50" i="26"/>
  <c r="I50" i="26"/>
  <c r="A50" i="26"/>
  <c r="J49" i="26"/>
  <c r="I49" i="26"/>
  <c r="A49" i="26"/>
  <c r="J48" i="26"/>
  <c r="I48" i="26"/>
  <c r="K48" i="26" s="1"/>
  <c r="A48" i="26"/>
  <c r="J47" i="26"/>
  <c r="I47" i="26"/>
  <c r="A47" i="26"/>
  <c r="J45" i="26"/>
  <c r="I45" i="26"/>
  <c r="A45" i="26"/>
  <c r="J44" i="26"/>
  <c r="I44" i="26"/>
  <c r="A44" i="26"/>
  <c r="J43" i="26"/>
  <c r="I43" i="26"/>
  <c r="A43" i="26"/>
  <c r="J42" i="26"/>
  <c r="I42" i="26"/>
  <c r="A42" i="26"/>
  <c r="J41" i="26"/>
  <c r="I41" i="26"/>
  <c r="A41" i="26"/>
  <c r="J40" i="26"/>
  <c r="I40" i="26"/>
  <c r="A40" i="26"/>
  <c r="J39" i="26"/>
  <c r="I39" i="26"/>
  <c r="K39" i="26" s="1"/>
  <c r="A39" i="26"/>
  <c r="J38" i="26"/>
  <c r="I38" i="26"/>
  <c r="A38" i="26"/>
  <c r="J37" i="26"/>
  <c r="I37" i="26"/>
  <c r="A37" i="26"/>
  <c r="J36" i="26"/>
  <c r="I36" i="26"/>
  <c r="A36" i="26"/>
  <c r="J35" i="26"/>
  <c r="I35" i="26"/>
  <c r="A35" i="26"/>
  <c r="J34" i="26"/>
  <c r="I34" i="26"/>
  <c r="A34" i="26"/>
  <c r="J33" i="26"/>
  <c r="I33" i="26"/>
  <c r="A33" i="26"/>
  <c r="J31" i="26"/>
  <c r="I31" i="26"/>
  <c r="A31" i="26"/>
  <c r="J30" i="26"/>
  <c r="I30" i="26"/>
  <c r="A30" i="26"/>
  <c r="J29" i="26"/>
  <c r="I29" i="26"/>
  <c r="A29" i="26"/>
  <c r="J27" i="26"/>
  <c r="I27" i="26"/>
  <c r="A27" i="26"/>
  <c r="J26" i="26"/>
  <c r="I26" i="26"/>
  <c r="A26" i="26"/>
  <c r="J25" i="26"/>
  <c r="I25" i="26"/>
  <c r="A25" i="26"/>
  <c r="J24" i="26"/>
  <c r="I24" i="26"/>
  <c r="A24" i="26"/>
  <c r="J23" i="26"/>
  <c r="I23" i="26"/>
  <c r="A23" i="26"/>
  <c r="J22" i="26"/>
  <c r="I22" i="26"/>
  <c r="A22" i="26"/>
  <c r="J21" i="26"/>
  <c r="I21" i="26"/>
  <c r="A21" i="26"/>
  <c r="J20" i="26"/>
  <c r="I20" i="26"/>
  <c r="A20" i="26"/>
  <c r="J19" i="26"/>
  <c r="I19" i="26"/>
  <c r="H18" i="26"/>
  <c r="H150" i="2" s="1"/>
  <c r="A19" i="26"/>
  <c r="J18" i="26"/>
  <c r="I18" i="26"/>
  <c r="H17" i="26"/>
  <c r="G150" i="2" s="1"/>
  <c r="A18" i="26"/>
  <c r="J17" i="26"/>
  <c r="I17" i="26"/>
  <c r="H16" i="26"/>
  <c r="F150" i="2" s="1"/>
  <c r="A17" i="26"/>
  <c r="J16" i="26"/>
  <c r="I16" i="26"/>
  <c r="H15" i="26"/>
  <c r="E150" i="2" s="1"/>
  <c r="A16" i="26"/>
  <c r="J15" i="26"/>
  <c r="I15" i="26"/>
  <c r="H14" i="26"/>
  <c r="H116" i="2" s="1"/>
  <c r="A15" i="26"/>
  <c r="J14" i="26"/>
  <c r="I14" i="26"/>
  <c r="H13" i="26"/>
  <c r="G116" i="2" s="1"/>
  <c r="A14" i="26"/>
  <c r="J13" i="26"/>
  <c r="I13" i="26"/>
  <c r="H12" i="26"/>
  <c r="F116" i="2" s="1"/>
  <c r="A13" i="26"/>
  <c r="J12" i="26"/>
  <c r="I12" i="26"/>
  <c r="H11" i="26"/>
  <c r="E116" i="2" s="1"/>
  <c r="A12" i="26"/>
  <c r="J11" i="26"/>
  <c r="I11" i="26"/>
  <c r="H10" i="26"/>
  <c r="H85" i="2" s="1"/>
  <c r="A11" i="26"/>
  <c r="J10" i="26"/>
  <c r="I10" i="26"/>
  <c r="H9" i="26"/>
  <c r="G85" i="2" s="1"/>
  <c r="A10" i="26"/>
  <c r="J9" i="26"/>
  <c r="I9" i="26"/>
  <c r="H8" i="26"/>
  <c r="F85" i="2" s="1"/>
  <c r="A9" i="26"/>
  <c r="J8" i="26"/>
  <c r="I8" i="26"/>
  <c r="H7" i="26"/>
  <c r="E85" i="2" s="1"/>
  <c r="A8" i="26"/>
  <c r="J7" i="26"/>
  <c r="I7" i="26"/>
  <c r="A7" i="26"/>
  <c r="J6" i="26"/>
  <c r="I6" i="26"/>
  <c r="A6" i="26"/>
  <c r="J5" i="26"/>
  <c r="I5" i="26"/>
  <c r="A5" i="26"/>
  <c r="J3" i="26"/>
  <c r="I3" i="26"/>
  <c r="A3" i="26"/>
  <c r="H2" i="26"/>
  <c r="D22" i="2" s="1"/>
  <c r="K1" i="26"/>
  <c r="J1" i="26"/>
  <c r="I1" i="26"/>
  <c r="H1" i="26"/>
  <c r="G1" i="26"/>
  <c r="H3" i="26" s="1"/>
  <c r="E1" i="26"/>
  <c r="D1" i="26"/>
  <c r="C1" i="26"/>
  <c r="J30" i="25"/>
  <c r="I30" i="25"/>
  <c r="A30" i="25"/>
  <c r="J29" i="25"/>
  <c r="I29" i="25"/>
  <c r="A29" i="25"/>
  <c r="J28" i="25"/>
  <c r="I28" i="25"/>
  <c r="A28" i="25"/>
  <c r="J27" i="25"/>
  <c r="I27" i="25"/>
  <c r="A27" i="25"/>
  <c r="J26" i="25"/>
  <c r="I26" i="25"/>
  <c r="A26" i="25"/>
  <c r="J24" i="25"/>
  <c r="I24" i="25"/>
  <c r="K24" i="25" s="1"/>
  <c r="A24" i="25"/>
  <c r="J23" i="25"/>
  <c r="I23" i="25"/>
  <c r="A23" i="25"/>
  <c r="J22" i="25"/>
  <c r="I22" i="25"/>
  <c r="A22" i="25"/>
  <c r="J21" i="25"/>
  <c r="I21" i="25"/>
  <c r="A21" i="25"/>
  <c r="J20" i="25"/>
  <c r="I20" i="25"/>
  <c r="A20" i="25"/>
  <c r="J18" i="25"/>
  <c r="K18" i="25" s="1"/>
  <c r="I18" i="25"/>
  <c r="A18" i="25"/>
  <c r="J17" i="25"/>
  <c r="I17" i="25"/>
  <c r="H18" i="25"/>
  <c r="H149" i="2" s="1"/>
  <c r="A17" i="25"/>
  <c r="J16" i="25"/>
  <c r="I16" i="25"/>
  <c r="K16" i="25" s="1"/>
  <c r="H17" i="25"/>
  <c r="G149" i="2" s="1"/>
  <c r="A16" i="25"/>
  <c r="J15" i="25"/>
  <c r="I15" i="25"/>
  <c r="H16" i="25"/>
  <c r="F149" i="2" s="1"/>
  <c r="A15" i="25"/>
  <c r="J14" i="25"/>
  <c r="I14" i="25"/>
  <c r="H15" i="25"/>
  <c r="E149" i="2" s="1"/>
  <c r="A14" i="25"/>
  <c r="J13" i="25"/>
  <c r="I13" i="25"/>
  <c r="H14" i="25"/>
  <c r="H115" i="2" s="1"/>
  <c r="A13" i="25"/>
  <c r="J12" i="25"/>
  <c r="I12" i="25"/>
  <c r="H13" i="25"/>
  <c r="G115" i="2" s="1"/>
  <c r="A12" i="25"/>
  <c r="H12" i="25"/>
  <c r="F115" i="2" s="1"/>
  <c r="H11" i="25"/>
  <c r="E115" i="2" s="1"/>
  <c r="J10" i="25"/>
  <c r="I10" i="25"/>
  <c r="H10" i="25"/>
  <c r="H84" i="2" s="1"/>
  <c r="A10" i="25"/>
  <c r="J9" i="25"/>
  <c r="I9" i="25"/>
  <c r="H9" i="25"/>
  <c r="G84" i="2" s="1"/>
  <c r="A9" i="25"/>
  <c r="J8" i="25"/>
  <c r="I8" i="25"/>
  <c r="H8" i="25"/>
  <c r="F84" i="2" s="1"/>
  <c r="A8" i="25"/>
  <c r="J7" i="25"/>
  <c r="I7" i="25"/>
  <c r="H7" i="25"/>
  <c r="E84" i="2" s="1"/>
  <c r="A7" i="25"/>
  <c r="J6" i="25"/>
  <c r="I6" i="25"/>
  <c r="A6" i="25"/>
  <c r="J5" i="25"/>
  <c r="I5" i="25"/>
  <c r="A5" i="25"/>
  <c r="J4" i="25"/>
  <c r="I4" i="25"/>
  <c r="A4" i="25"/>
  <c r="J3" i="25"/>
  <c r="I3" i="25"/>
  <c r="A3" i="25"/>
  <c r="K1" i="25"/>
  <c r="J1" i="25"/>
  <c r="I1" i="25"/>
  <c r="H1" i="25"/>
  <c r="G1" i="25"/>
  <c r="H3" i="25" s="1"/>
  <c r="E1" i="25"/>
  <c r="D1" i="25"/>
  <c r="C1" i="25"/>
  <c r="J36" i="24"/>
  <c r="I36" i="24"/>
  <c r="A36" i="24"/>
  <c r="J35" i="24"/>
  <c r="I35" i="24"/>
  <c r="A35" i="24"/>
  <c r="J34" i="24"/>
  <c r="I34" i="24"/>
  <c r="A34" i="24"/>
  <c r="J33" i="24"/>
  <c r="I33" i="24"/>
  <c r="A33" i="24"/>
  <c r="J31" i="24"/>
  <c r="I31" i="24"/>
  <c r="A31" i="24"/>
  <c r="J30" i="24"/>
  <c r="I30" i="24"/>
  <c r="A30" i="24"/>
  <c r="A29" i="24"/>
  <c r="J28" i="24"/>
  <c r="I28" i="24"/>
  <c r="A28" i="24"/>
  <c r="J27" i="24"/>
  <c r="I27" i="24"/>
  <c r="A27" i="24"/>
  <c r="J26" i="24"/>
  <c r="I26" i="24"/>
  <c r="A26" i="24"/>
  <c r="J25" i="24"/>
  <c r="I25" i="24"/>
  <c r="A25" i="24"/>
  <c r="J24" i="24"/>
  <c r="I24" i="24"/>
  <c r="K24" i="24" s="1"/>
  <c r="A24" i="24"/>
  <c r="J23" i="24"/>
  <c r="I23" i="24"/>
  <c r="A23" i="24"/>
  <c r="J22" i="24"/>
  <c r="I22" i="24"/>
  <c r="A22" i="24"/>
  <c r="J20" i="24"/>
  <c r="I20" i="24"/>
  <c r="A20" i="24"/>
  <c r="J19" i="24"/>
  <c r="I19" i="24"/>
  <c r="A19" i="24"/>
  <c r="J18" i="24"/>
  <c r="I18" i="24"/>
  <c r="H18" i="24"/>
  <c r="A18" i="24"/>
  <c r="J17" i="24"/>
  <c r="I17" i="24"/>
  <c r="H17" i="24"/>
  <c r="A17" i="24"/>
  <c r="J16" i="24"/>
  <c r="I16" i="24"/>
  <c r="H16" i="24"/>
  <c r="A16" i="24"/>
  <c r="J15" i="24"/>
  <c r="K15" i="24" s="1"/>
  <c r="I15" i="24"/>
  <c r="H15" i="24"/>
  <c r="A15" i="24"/>
  <c r="J14" i="24"/>
  <c r="I14" i="24"/>
  <c r="H14" i="24"/>
  <c r="A14" i="24"/>
  <c r="J13" i="24"/>
  <c r="I13" i="24"/>
  <c r="H13" i="24"/>
  <c r="A13" i="24"/>
  <c r="J12" i="24"/>
  <c r="I12" i="24"/>
  <c r="H12" i="24"/>
  <c r="A12" i="24"/>
  <c r="J11" i="24"/>
  <c r="I11" i="24"/>
  <c r="H11" i="24"/>
  <c r="A11" i="24"/>
  <c r="J10" i="24"/>
  <c r="I10" i="24"/>
  <c r="H10" i="24"/>
  <c r="A10" i="24"/>
  <c r="H9" i="24"/>
  <c r="J8" i="24"/>
  <c r="I8" i="24"/>
  <c r="H8" i="24"/>
  <c r="A8" i="24"/>
  <c r="J7" i="24"/>
  <c r="I7" i="24"/>
  <c r="H7" i="24"/>
  <c r="A7" i="24"/>
  <c r="J6" i="24"/>
  <c r="I6" i="24"/>
  <c r="A6" i="24"/>
  <c r="J5" i="24"/>
  <c r="I5" i="24"/>
  <c r="A5" i="24"/>
  <c r="J4" i="24"/>
  <c r="I4" i="24"/>
  <c r="A4" i="24"/>
  <c r="J3" i="24"/>
  <c r="I3" i="24"/>
  <c r="A3" i="24"/>
  <c r="H2" i="24"/>
  <c r="K1" i="24"/>
  <c r="J1" i="24"/>
  <c r="I1" i="24"/>
  <c r="H1" i="24"/>
  <c r="G1" i="24"/>
  <c r="H3" i="24" s="1"/>
  <c r="E1" i="24"/>
  <c r="D1" i="24"/>
  <c r="C1" i="24"/>
  <c r="J28" i="23"/>
  <c r="I28" i="23"/>
  <c r="A28" i="23"/>
  <c r="J27" i="23"/>
  <c r="I27" i="23"/>
  <c r="A27" i="23"/>
  <c r="J26" i="23"/>
  <c r="I26" i="23"/>
  <c r="A26" i="23"/>
  <c r="J24" i="23"/>
  <c r="I24" i="23"/>
  <c r="A24" i="23"/>
  <c r="J23" i="23"/>
  <c r="I23" i="23"/>
  <c r="A23" i="23"/>
  <c r="J22" i="23"/>
  <c r="I22" i="23"/>
  <c r="A22" i="23"/>
  <c r="J21" i="23"/>
  <c r="I21" i="23"/>
  <c r="A21" i="23"/>
  <c r="J19" i="23"/>
  <c r="I19" i="23"/>
  <c r="A19" i="23"/>
  <c r="J18" i="23"/>
  <c r="I18" i="23"/>
  <c r="H18" i="23"/>
  <c r="H148" i="2" s="1"/>
  <c r="A18" i="23"/>
  <c r="J17" i="23"/>
  <c r="I17" i="23"/>
  <c r="H17" i="23"/>
  <c r="G148" i="2" s="1"/>
  <c r="A17" i="23"/>
  <c r="H16" i="23"/>
  <c r="F148" i="2" s="1"/>
  <c r="J15" i="23"/>
  <c r="I15" i="23"/>
  <c r="H15" i="23"/>
  <c r="E148" i="2" s="1"/>
  <c r="A15" i="23"/>
  <c r="J14" i="23"/>
  <c r="I14" i="23"/>
  <c r="H14" i="23"/>
  <c r="H114" i="2" s="1"/>
  <c r="A14" i="23"/>
  <c r="J13" i="23"/>
  <c r="I13" i="23"/>
  <c r="H13" i="23"/>
  <c r="G114" i="2" s="1"/>
  <c r="A13" i="23"/>
  <c r="J12" i="23"/>
  <c r="I12" i="23"/>
  <c r="H12" i="23"/>
  <c r="F114" i="2" s="1"/>
  <c r="A12" i="23"/>
  <c r="J11" i="23"/>
  <c r="I11" i="23"/>
  <c r="H11" i="23"/>
  <c r="E114" i="2" s="1"/>
  <c r="A11" i="23"/>
  <c r="J10" i="23"/>
  <c r="I10" i="23"/>
  <c r="H10" i="23"/>
  <c r="H83" i="2" s="1"/>
  <c r="A10" i="23"/>
  <c r="J9" i="23"/>
  <c r="I9" i="23"/>
  <c r="H9" i="23"/>
  <c r="G83" i="2" s="1"/>
  <c r="A9" i="23"/>
  <c r="J8" i="23"/>
  <c r="I8" i="23"/>
  <c r="H8" i="23"/>
  <c r="F83" i="2" s="1"/>
  <c r="A8" i="23"/>
  <c r="J7" i="23"/>
  <c r="I7" i="23"/>
  <c r="H7" i="23"/>
  <c r="E83" i="2" s="1"/>
  <c r="A7" i="23"/>
  <c r="J5" i="23"/>
  <c r="I5" i="23"/>
  <c r="A5" i="23"/>
  <c r="J4" i="23"/>
  <c r="I4" i="23"/>
  <c r="A4" i="23"/>
  <c r="J3" i="23"/>
  <c r="I3" i="23"/>
  <c r="A3" i="23"/>
  <c r="H2" i="23"/>
  <c r="K1" i="23"/>
  <c r="J1" i="23"/>
  <c r="I1" i="23"/>
  <c r="H1" i="23"/>
  <c r="G1" i="23"/>
  <c r="H6" i="23" s="1"/>
  <c r="H52" i="2" s="1"/>
  <c r="E1" i="23"/>
  <c r="D1" i="23"/>
  <c r="C1" i="23"/>
  <c r="J29" i="22"/>
  <c r="I29" i="22"/>
  <c r="J28" i="22"/>
  <c r="I28" i="22"/>
  <c r="J27" i="22"/>
  <c r="I27" i="22"/>
  <c r="J25" i="22"/>
  <c r="I25" i="22"/>
  <c r="J24" i="22"/>
  <c r="I24" i="22"/>
  <c r="J23" i="22"/>
  <c r="I23" i="22"/>
  <c r="J22" i="22"/>
  <c r="K22" i="22" s="1"/>
  <c r="I22" i="22"/>
  <c r="J20" i="22"/>
  <c r="I20" i="22"/>
  <c r="J19" i="22"/>
  <c r="I19" i="22"/>
  <c r="J18" i="22"/>
  <c r="I18" i="22"/>
  <c r="H18" i="22"/>
  <c r="J17" i="22"/>
  <c r="I17" i="22"/>
  <c r="H17" i="22"/>
  <c r="J16" i="22"/>
  <c r="I16" i="22"/>
  <c r="H16" i="22"/>
  <c r="J15" i="22"/>
  <c r="I15" i="22"/>
  <c r="H15" i="22"/>
  <c r="H14" i="22"/>
  <c r="J13" i="22"/>
  <c r="I13" i="22"/>
  <c r="H13" i="22"/>
  <c r="J12" i="22"/>
  <c r="I12" i="22"/>
  <c r="H12" i="22"/>
  <c r="J11" i="22"/>
  <c r="I11" i="22"/>
  <c r="H11" i="22"/>
  <c r="J10" i="22"/>
  <c r="I10" i="22"/>
  <c r="H10" i="22"/>
  <c r="J9" i="22"/>
  <c r="I9" i="22"/>
  <c r="H9" i="22"/>
  <c r="J8" i="22"/>
  <c r="I8" i="22"/>
  <c r="H8" i="22"/>
  <c r="J7" i="22"/>
  <c r="I7" i="22"/>
  <c r="H7" i="22"/>
  <c r="J6" i="22"/>
  <c r="I6" i="22"/>
  <c r="J5" i="22"/>
  <c r="I5" i="22"/>
  <c r="J4" i="22"/>
  <c r="I4" i="22"/>
  <c r="H2" i="22"/>
  <c r="K1" i="22"/>
  <c r="J1" i="22"/>
  <c r="I1" i="22"/>
  <c r="H1" i="22"/>
  <c r="G1" i="22"/>
  <c r="H5" i="22" s="1"/>
  <c r="E1" i="22"/>
  <c r="D1" i="22"/>
  <c r="C1" i="22"/>
  <c r="J33" i="21"/>
  <c r="I33" i="21"/>
  <c r="J32" i="21"/>
  <c r="I32" i="21"/>
  <c r="J31" i="21"/>
  <c r="I31" i="21"/>
  <c r="J30" i="21"/>
  <c r="I30" i="21"/>
  <c r="J28" i="21"/>
  <c r="I28" i="21"/>
  <c r="J27" i="21"/>
  <c r="I27" i="21"/>
  <c r="J26" i="21"/>
  <c r="I26" i="21"/>
  <c r="J25" i="21"/>
  <c r="I25" i="21"/>
  <c r="J23" i="21"/>
  <c r="I23" i="21"/>
  <c r="J22" i="21"/>
  <c r="I22" i="21"/>
  <c r="J21" i="21"/>
  <c r="I21" i="21"/>
  <c r="J20" i="21"/>
  <c r="I20" i="21"/>
  <c r="J18" i="21"/>
  <c r="I18" i="21"/>
  <c r="H18" i="21"/>
  <c r="J17" i="21"/>
  <c r="I17" i="21"/>
  <c r="H17" i="21"/>
  <c r="J16" i="21"/>
  <c r="I16" i="21"/>
  <c r="H16" i="21"/>
  <c r="J15" i="21"/>
  <c r="I15" i="21"/>
  <c r="H15" i="21"/>
  <c r="J14" i="21"/>
  <c r="I14" i="21"/>
  <c r="H14" i="21"/>
  <c r="J13" i="21"/>
  <c r="I13" i="21"/>
  <c r="H13" i="21"/>
  <c r="J12" i="21"/>
  <c r="I12" i="21"/>
  <c r="H12" i="21"/>
  <c r="J11" i="21"/>
  <c r="I11" i="21"/>
  <c r="H11" i="21"/>
  <c r="J10" i="21"/>
  <c r="I10" i="21"/>
  <c r="H10" i="21"/>
  <c r="J9" i="21"/>
  <c r="I9" i="21"/>
  <c r="H9" i="21"/>
  <c r="J8" i="21"/>
  <c r="I8" i="21"/>
  <c r="H8" i="21"/>
  <c r="J7" i="21"/>
  <c r="I7" i="21"/>
  <c r="H7" i="21"/>
  <c r="J6" i="21"/>
  <c r="I6" i="21"/>
  <c r="J5" i="21"/>
  <c r="I5" i="21"/>
  <c r="J3" i="21"/>
  <c r="I3" i="21"/>
  <c r="H2" i="21"/>
  <c r="K1" i="21"/>
  <c r="J1" i="21"/>
  <c r="I1" i="21"/>
  <c r="H1" i="21"/>
  <c r="G1" i="21"/>
  <c r="H3" i="21" s="1"/>
  <c r="E1" i="21"/>
  <c r="D1" i="21"/>
  <c r="C1" i="21"/>
  <c r="J29" i="20"/>
  <c r="I29" i="20"/>
  <c r="A29" i="20"/>
  <c r="J28" i="20"/>
  <c r="I28" i="20"/>
  <c r="A28" i="20"/>
  <c r="J27" i="20"/>
  <c r="I27" i="20"/>
  <c r="A27" i="20"/>
  <c r="J26" i="20"/>
  <c r="I26" i="20"/>
  <c r="A26" i="20"/>
  <c r="J24" i="20"/>
  <c r="I24" i="20"/>
  <c r="K24" i="20" s="1"/>
  <c r="A24" i="20"/>
  <c r="J23" i="20"/>
  <c r="I23" i="20"/>
  <c r="A23" i="20"/>
  <c r="J22" i="20"/>
  <c r="I22" i="20"/>
  <c r="A22" i="20"/>
  <c r="J21" i="20"/>
  <c r="I21" i="20"/>
  <c r="A21" i="20"/>
  <c r="J19" i="20"/>
  <c r="I19" i="20"/>
  <c r="A19" i="20"/>
  <c r="J18" i="20"/>
  <c r="I18" i="20"/>
  <c r="H18" i="20"/>
  <c r="A18" i="20"/>
  <c r="J17" i="20"/>
  <c r="I17" i="20"/>
  <c r="H17" i="20"/>
  <c r="A17" i="20"/>
  <c r="J16" i="20"/>
  <c r="I16" i="20"/>
  <c r="H16" i="20"/>
  <c r="A16" i="20"/>
  <c r="J15" i="20"/>
  <c r="K15" i="20" s="1"/>
  <c r="I15" i="20"/>
  <c r="H15" i="20"/>
  <c r="A15" i="20"/>
  <c r="J14" i="20"/>
  <c r="I14" i="20"/>
  <c r="H14" i="20"/>
  <c r="A14" i="20"/>
  <c r="J13" i="20"/>
  <c r="I13" i="20"/>
  <c r="H13" i="20"/>
  <c r="A13" i="20"/>
  <c r="H12" i="20"/>
  <c r="J11" i="20"/>
  <c r="I11" i="20"/>
  <c r="H11" i="20"/>
  <c r="A11" i="20"/>
  <c r="J10" i="20"/>
  <c r="I10" i="20"/>
  <c r="K10" i="20" s="1"/>
  <c r="H10" i="20"/>
  <c r="A10" i="20"/>
  <c r="J9" i="20"/>
  <c r="I9" i="20"/>
  <c r="K9" i="20" s="1"/>
  <c r="H9" i="20"/>
  <c r="A9" i="20"/>
  <c r="J8" i="20"/>
  <c r="I8" i="20"/>
  <c r="H8" i="20"/>
  <c r="A8" i="20"/>
  <c r="J7" i="20"/>
  <c r="I7" i="20"/>
  <c r="H7" i="20"/>
  <c r="A7" i="20"/>
  <c r="J6" i="20"/>
  <c r="I6" i="20"/>
  <c r="A6" i="20"/>
  <c r="J5" i="20"/>
  <c r="I5" i="20"/>
  <c r="A5" i="20"/>
  <c r="J4" i="20"/>
  <c r="I4" i="20"/>
  <c r="K4" i="20" s="1"/>
  <c r="H4" i="20"/>
  <c r="A4" i="20"/>
  <c r="J3" i="20"/>
  <c r="I3" i="20"/>
  <c r="K3" i="20" s="1"/>
  <c r="A3" i="20"/>
  <c r="H2" i="20"/>
  <c r="K1" i="20"/>
  <c r="J1" i="20"/>
  <c r="I1" i="20"/>
  <c r="H1" i="20"/>
  <c r="G1" i="20"/>
  <c r="H3" i="20" s="1"/>
  <c r="E1" i="20"/>
  <c r="D1" i="20"/>
  <c r="C1" i="20"/>
  <c r="J27" i="19"/>
  <c r="I27" i="19"/>
  <c r="J26" i="19"/>
  <c r="I26" i="19"/>
  <c r="J25" i="19"/>
  <c r="I25" i="19"/>
  <c r="J24" i="19"/>
  <c r="I24" i="19"/>
  <c r="K24" i="19" s="1"/>
  <c r="J23" i="19"/>
  <c r="I23" i="19"/>
  <c r="J21" i="19"/>
  <c r="I21" i="19"/>
  <c r="K21" i="19" s="1"/>
  <c r="J20" i="19"/>
  <c r="I20" i="19"/>
  <c r="J19" i="19"/>
  <c r="I19" i="19"/>
  <c r="J18" i="19"/>
  <c r="I18" i="19"/>
  <c r="H18" i="19"/>
  <c r="H147" i="2" s="1"/>
  <c r="J16" i="19"/>
  <c r="I16" i="19"/>
  <c r="H17" i="19"/>
  <c r="G147" i="2" s="1"/>
  <c r="J15" i="19"/>
  <c r="I15" i="19"/>
  <c r="H16" i="19"/>
  <c r="F147" i="2" s="1"/>
  <c r="J14" i="19"/>
  <c r="I14" i="19"/>
  <c r="H15" i="19"/>
  <c r="E147" i="2" s="1"/>
  <c r="H14" i="19"/>
  <c r="H113" i="2" s="1"/>
  <c r="J13" i="19"/>
  <c r="I13" i="19"/>
  <c r="H13" i="19"/>
  <c r="G113" i="2" s="1"/>
  <c r="J12" i="19"/>
  <c r="I12" i="19"/>
  <c r="H12" i="19"/>
  <c r="F113" i="2" s="1"/>
  <c r="H11" i="19"/>
  <c r="E113" i="2" s="1"/>
  <c r="J10" i="19"/>
  <c r="I10" i="19"/>
  <c r="H10" i="19"/>
  <c r="H82" i="2" s="1"/>
  <c r="J9" i="19"/>
  <c r="I9" i="19"/>
  <c r="H9" i="19"/>
  <c r="G82" i="2" s="1"/>
  <c r="J8" i="19"/>
  <c r="I8" i="19"/>
  <c r="K8" i="19" s="1"/>
  <c r="H8" i="19"/>
  <c r="F82" i="2" s="1"/>
  <c r="J7" i="19"/>
  <c r="I7" i="19"/>
  <c r="H7" i="19"/>
  <c r="E82" i="2" s="1"/>
  <c r="J6" i="19"/>
  <c r="I6" i="19"/>
  <c r="J5" i="19"/>
  <c r="I5" i="19"/>
  <c r="J4" i="19"/>
  <c r="I4" i="19"/>
  <c r="J3" i="19"/>
  <c r="I3" i="19"/>
  <c r="K3" i="19" s="1"/>
  <c r="H2" i="19"/>
  <c r="D19" i="2" s="1"/>
  <c r="K1" i="19"/>
  <c r="J1" i="19"/>
  <c r="I1" i="19"/>
  <c r="H1" i="19"/>
  <c r="G1" i="19"/>
  <c r="H6" i="19" s="1"/>
  <c r="H51" i="2" s="1"/>
  <c r="E1" i="19"/>
  <c r="D1" i="19"/>
  <c r="C1" i="19"/>
  <c r="J43" i="18"/>
  <c r="I43" i="18"/>
  <c r="A43" i="18"/>
  <c r="J42" i="18"/>
  <c r="I42" i="18"/>
  <c r="A42" i="18"/>
  <c r="J40" i="18"/>
  <c r="I40" i="18"/>
  <c r="A40" i="18"/>
  <c r="J39" i="18"/>
  <c r="I39" i="18"/>
  <c r="A39" i="18"/>
  <c r="J38" i="18"/>
  <c r="I38" i="18"/>
  <c r="A38" i="18"/>
  <c r="J37" i="18"/>
  <c r="I37" i="18"/>
  <c r="A37" i="18"/>
  <c r="J35" i="18"/>
  <c r="I35" i="18"/>
  <c r="A35" i="18"/>
  <c r="J34" i="18"/>
  <c r="I34" i="18"/>
  <c r="H34" i="18"/>
  <c r="A34" i="18"/>
  <c r="J33" i="18"/>
  <c r="I33" i="18"/>
  <c r="H33" i="18"/>
  <c r="A33" i="18"/>
  <c r="J32" i="18"/>
  <c r="I32" i="18"/>
  <c r="H32" i="18"/>
  <c r="A32" i="18"/>
  <c r="J31" i="18"/>
  <c r="I31" i="18"/>
  <c r="K31" i="18" s="1"/>
  <c r="H31" i="18"/>
  <c r="A31" i="18"/>
  <c r="J30" i="18"/>
  <c r="I30" i="18"/>
  <c r="H30" i="18"/>
  <c r="A30" i="18"/>
  <c r="J29" i="18"/>
  <c r="I29" i="18"/>
  <c r="H29" i="18"/>
  <c r="A29" i="18"/>
  <c r="H28" i="18"/>
  <c r="J27" i="18"/>
  <c r="I27" i="18"/>
  <c r="A27" i="18"/>
  <c r="J26" i="18"/>
  <c r="I26" i="18"/>
  <c r="A26" i="18"/>
  <c r="J25" i="18"/>
  <c r="I25" i="18"/>
  <c r="A25" i="18"/>
  <c r="J24" i="18"/>
  <c r="I24" i="18"/>
  <c r="K24" i="18" s="1"/>
  <c r="A24" i="18"/>
  <c r="J23" i="18"/>
  <c r="I23" i="18"/>
  <c r="A23" i="18"/>
  <c r="J22" i="18"/>
  <c r="I22" i="18"/>
  <c r="A22" i="18"/>
  <c r="J21" i="18"/>
  <c r="I21" i="18"/>
  <c r="A21" i="18"/>
  <c r="J20" i="18"/>
  <c r="I20" i="18"/>
  <c r="A20" i="18"/>
  <c r="J19" i="18"/>
  <c r="I19" i="18"/>
  <c r="A19" i="18"/>
  <c r="J18" i="18"/>
  <c r="I18" i="18"/>
  <c r="A18" i="18"/>
  <c r="J17" i="18"/>
  <c r="I17" i="18"/>
  <c r="A17" i="18"/>
  <c r="J16" i="18"/>
  <c r="I16" i="18"/>
  <c r="A16" i="18"/>
  <c r="J15" i="18"/>
  <c r="I15" i="18"/>
  <c r="A15" i="18"/>
  <c r="J14" i="18"/>
  <c r="I14" i="18"/>
  <c r="A14" i="18"/>
  <c r="J13" i="18"/>
  <c r="I13" i="18"/>
  <c r="A13" i="18"/>
  <c r="J12" i="18"/>
  <c r="I12" i="18"/>
  <c r="A12" i="18"/>
  <c r="J11" i="18"/>
  <c r="I11" i="18"/>
  <c r="A11" i="18"/>
  <c r="J10" i="18"/>
  <c r="I10" i="18"/>
  <c r="A10" i="18"/>
  <c r="J9" i="18"/>
  <c r="I9" i="18"/>
  <c r="A9" i="18"/>
  <c r="J8" i="18"/>
  <c r="I8" i="18"/>
  <c r="A8" i="18"/>
  <c r="J7" i="18"/>
  <c r="I7" i="18"/>
  <c r="A7" i="18"/>
  <c r="J6" i="18"/>
  <c r="I6" i="18"/>
  <c r="A6" i="18"/>
  <c r="J5" i="18"/>
  <c r="I5" i="18"/>
  <c r="A5" i="18"/>
  <c r="J4" i="18"/>
  <c r="I4" i="18"/>
  <c r="A4" i="18"/>
  <c r="J3" i="18"/>
  <c r="I3" i="18"/>
  <c r="A3" i="18"/>
  <c r="K1" i="18"/>
  <c r="J1" i="18"/>
  <c r="I1" i="18"/>
  <c r="H1" i="18"/>
  <c r="G1" i="18"/>
  <c r="E1" i="18"/>
  <c r="D1" i="18"/>
  <c r="C1" i="18"/>
  <c r="H145" i="2"/>
  <c r="G145" i="2"/>
  <c r="F145" i="2"/>
  <c r="E145" i="2"/>
  <c r="F11" i="3"/>
  <c r="J25" i="16"/>
  <c r="I25" i="16"/>
  <c r="A25" i="16"/>
  <c r="J24" i="16"/>
  <c r="I24" i="16"/>
  <c r="A24" i="16"/>
  <c r="J23" i="16"/>
  <c r="I23" i="16"/>
  <c r="A23" i="16"/>
  <c r="J22" i="16"/>
  <c r="I22" i="16"/>
  <c r="A22" i="16"/>
  <c r="J20" i="16"/>
  <c r="I20" i="16"/>
  <c r="A20" i="16"/>
  <c r="J19" i="16"/>
  <c r="I19" i="16"/>
  <c r="K19" i="16" s="1"/>
  <c r="A19" i="16"/>
  <c r="J18" i="16"/>
  <c r="I18" i="16"/>
  <c r="A18" i="16"/>
  <c r="J17" i="16"/>
  <c r="I17" i="16"/>
  <c r="A17" i="16"/>
  <c r="J15" i="16"/>
  <c r="I15" i="16"/>
  <c r="A15" i="16"/>
  <c r="H18" i="16"/>
  <c r="H144" i="2" s="1"/>
  <c r="H17" i="16"/>
  <c r="G144" i="2" s="1"/>
  <c r="H16" i="16"/>
  <c r="F144" i="2" s="1"/>
  <c r="H15" i="16"/>
  <c r="E144" i="2" s="1"/>
  <c r="J14" i="16"/>
  <c r="I14" i="16"/>
  <c r="H14" i="16"/>
  <c r="H111" i="2" s="1"/>
  <c r="A14" i="16"/>
  <c r="J13" i="16"/>
  <c r="I13" i="16"/>
  <c r="H13" i="16"/>
  <c r="G111" i="2" s="1"/>
  <c r="A13" i="16"/>
  <c r="H12" i="16"/>
  <c r="F111" i="2" s="1"/>
  <c r="J11" i="16"/>
  <c r="I11" i="16"/>
  <c r="H11" i="16"/>
  <c r="E111" i="2" s="1"/>
  <c r="A11" i="16"/>
  <c r="J10" i="16"/>
  <c r="I10" i="16"/>
  <c r="H10" i="16"/>
  <c r="H80" i="2" s="1"/>
  <c r="A10" i="16"/>
  <c r="J9" i="16"/>
  <c r="I9" i="16"/>
  <c r="K9" i="16" s="1"/>
  <c r="H9" i="16"/>
  <c r="G80" i="2" s="1"/>
  <c r="A9" i="16"/>
  <c r="J8" i="16"/>
  <c r="I8" i="16"/>
  <c r="H8" i="16"/>
  <c r="F80" i="2" s="1"/>
  <c r="A8" i="16"/>
  <c r="J7" i="16"/>
  <c r="I7" i="16"/>
  <c r="H7" i="16"/>
  <c r="E80" i="2" s="1"/>
  <c r="A7" i="16"/>
  <c r="J6" i="16"/>
  <c r="I6" i="16"/>
  <c r="A6" i="16"/>
  <c r="J5" i="16"/>
  <c r="I5" i="16"/>
  <c r="A5" i="16"/>
  <c r="J4" i="16"/>
  <c r="I4" i="16"/>
  <c r="A4" i="16"/>
  <c r="J3" i="16"/>
  <c r="I3" i="16"/>
  <c r="A3" i="16"/>
  <c r="H2" i="16"/>
  <c r="D17" i="2" s="1"/>
  <c r="K1" i="16"/>
  <c r="J1" i="16"/>
  <c r="I1" i="16"/>
  <c r="H1" i="16"/>
  <c r="G1" i="16"/>
  <c r="H3" i="16" s="1"/>
  <c r="E1" i="16"/>
  <c r="D1" i="16"/>
  <c r="C1" i="16"/>
  <c r="J12" i="15"/>
  <c r="I12" i="15"/>
  <c r="A12" i="15"/>
  <c r="J11" i="15"/>
  <c r="I11" i="15"/>
  <c r="A11" i="15"/>
  <c r="J10" i="15"/>
  <c r="I10" i="15"/>
  <c r="A10" i="15"/>
  <c r="J9" i="15"/>
  <c r="I9" i="15"/>
  <c r="A9" i="15"/>
  <c r="J8" i="15"/>
  <c r="I8" i="15"/>
  <c r="A8" i="15"/>
  <c r="J7" i="15"/>
  <c r="I7" i="15"/>
  <c r="A7" i="15"/>
  <c r="J5" i="15"/>
  <c r="I5" i="15"/>
  <c r="A5" i="15"/>
  <c r="J4" i="15"/>
  <c r="I4" i="15"/>
  <c r="A4" i="15"/>
  <c r="J3" i="15"/>
  <c r="I3" i="15"/>
  <c r="A3" i="15"/>
  <c r="K1" i="15"/>
  <c r="J1" i="15"/>
  <c r="I1" i="15"/>
  <c r="H1" i="15"/>
  <c r="G1" i="15"/>
  <c r="E1" i="15"/>
  <c r="D1" i="15"/>
  <c r="C1" i="15"/>
  <c r="J22" i="14"/>
  <c r="I22" i="14"/>
  <c r="A22" i="14"/>
  <c r="J21" i="14"/>
  <c r="I21" i="14"/>
  <c r="A21" i="14"/>
  <c r="J20" i="14"/>
  <c r="I20" i="14"/>
  <c r="A20" i="14"/>
  <c r="J19" i="14"/>
  <c r="I19" i="14"/>
  <c r="A19" i="14"/>
  <c r="H18" i="14"/>
  <c r="A18" i="14"/>
  <c r="J17" i="14"/>
  <c r="I17" i="14"/>
  <c r="H17" i="14"/>
  <c r="A17" i="14"/>
  <c r="J16" i="14"/>
  <c r="I16" i="14"/>
  <c r="H16" i="14"/>
  <c r="A16" i="14"/>
  <c r="J15" i="14"/>
  <c r="I15" i="14"/>
  <c r="H15" i="14"/>
  <c r="A15" i="14"/>
  <c r="J14" i="14"/>
  <c r="I14" i="14"/>
  <c r="H14" i="14"/>
  <c r="A14" i="14"/>
  <c r="J13" i="14"/>
  <c r="I13" i="14"/>
  <c r="H13" i="14"/>
  <c r="A13" i="14"/>
  <c r="J12" i="14"/>
  <c r="I12" i="14"/>
  <c r="H12" i="14"/>
  <c r="A12" i="14"/>
  <c r="J11" i="14"/>
  <c r="I11" i="14"/>
  <c r="K11" i="14" s="1"/>
  <c r="H11" i="14"/>
  <c r="A11" i="14"/>
  <c r="J10" i="14"/>
  <c r="I10" i="14"/>
  <c r="K10" i="14" s="1"/>
  <c r="H10" i="14"/>
  <c r="A10" i="14"/>
  <c r="J9" i="14"/>
  <c r="I9" i="14"/>
  <c r="K9" i="14" s="1"/>
  <c r="H9" i="14"/>
  <c r="A9" i="14"/>
  <c r="J8" i="14"/>
  <c r="I8" i="14"/>
  <c r="H8" i="14"/>
  <c r="A8" i="14"/>
  <c r="J7" i="14"/>
  <c r="I7" i="14"/>
  <c r="H7" i="14"/>
  <c r="A7" i="14"/>
  <c r="J6" i="14"/>
  <c r="I6" i="14"/>
  <c r="A6" i="14"/>
  <c r="J5" i="14"/>
  <c r="I5" i="14"/>
  <c r="A5" i="14"/>
  <c r="J4" i="14"/>
  <c r="I4" i="14"/>
  <c r="K4" i="14" s="1"/>
  <c r="A4" i="14"/>
  <c r="J3" i="14"/>
  <c r="I3" i="14"/>
  <c r="A3" i="14"/>
  <c r="H2" i="14"/>
  <c r="K1" i="14"/>
  <c r="J1" i="14"/>
  <c r="I1" i="14"/>
  <c r="H1" i="14"/>
  <c r="G1" i="14"/>
  <c r="H3" i="14" s="1"/>
  <c r="E1" i="14"/>
  <c r="D1" i="14"/>
  <c r="C1" i="14"/>
  <c r="J32" i="13"/>
  <c r="I32" i="13"/>
  <c r="K32" i="13" s="1"/>
  <c r="J31" i="13"/>
  <c r="I31" i="13"/>
  <c r="J30" i="13"/>
  <c r="I30" i="13"/>
  <c r="J28" i="13"/>
  <c r="I28" i="13"/>
  <c r="J27" i="13"/>
  <c r="I27" i="13"/>
  <c r="J26" i="13"/>
  <c r="I26" i="13"/>
  <c r="J25" i="13"/>
  <c r="I25" i="13"/>
  <c r="J23" i="13"/>
  <c r="I23" i="13"/>
  <c r="J22" i="13"/>
  <c r="I22" i="13"/>
  <c r="J21" i="13"/>
  <c r="I21" i="13"/>
  <c r="J19" i="13"/>
  <c r="I19" i="13"/>
  <c r="H18" i="13"/>
  <c r="J17" i="13"/>
  <c r="I17" i="13"/>
  <c r="H17" i="13"/>
  <c r="J16" i="13"/>
  <c r="I16" i="13"/>
  <c r="H16" i="13"/>
  <c r="J15" i="13"/>
  <c r="I15" i="13"/>
  <c r="H15" i="13"/>
  <c r="J14" i="13"/>
  <c r="I14" i="13"/>
  <c r="H14" i="13"/>
  <c r="J13" i="13"/>
  <c r="I13" i="13"/>
  <c r="H13" i="13"/>
  <c r="J12" i="13"/>
  <c r="I12" i="13"/>
  <c r="H12" i="13"/>
  <c r="J11" i="13"/>
  <c r="I11" i="13"/>
  <c r="K11" i="13" s="1"/>
  <c r="H11" i="13"/>
  <c r="H10" i="13"/>
  <c r="J9" i="13"/>
  <c r="I9" i="13"/>
  <c r="H9" i="13"/>
  <c r="J8" i="13"/>
  <c r="I8" i="13"/>
  <c r="H8" i="13"/>
  <c r="J7" i="13"/>
  <c r="I7" i="13"/>
  <c r="K7" i="13" s="1"/>
  <c r="H7" i="13"/>
  <c r="J6" i="13"/>
  <c r="I6" i="13"/>
  <c r="H6" i="13"/>
  <c r="J4" i="13"/>
  <c r="I4" i="13"/>
  <c r="H4" i="13"/>
  <c r="H2" i="13"/>
  <c r="K1" i="13"/>
  <c r="J1" i="13"/>
  <c r="I1" i="13"/>
  <c r="H1" i="13"/>
  <c r="G1" i="13"/>
  <c r="H5" i="13" s="1"/>
  <c r="E1" i="13"/>
  <c r="D1" i="13"/>
  <c r="C1" i="13"/>
  <c r="J49" i="12"/>
  <c r="I49" i="12"/>
  <c r="J48" i="12"/>
  <c r="I48" i="12"/>
  <c r="J47" i="12"/>
  <c r="I47" i="12"/>
  <c r="J46" i="12"/>
  <c r="I46" i="12"/>
  <c r="J44" i="12"/>
  <c r="I44" i="12"/>
  <c r="K44" i="12" s="1"/>
  <c r="J43" i="12"/>
  <c r="I43" i="12"/>
  <c r="J42" i="12"/>
  <c r="I42" i="12"/>
  <c r="J41" i="12"/>
  <c r="I41" i="12"/>
  <c r="J39" i="12"/>
  <c r="I39" i="12"/>
  <c r="K39" i="12" s="1"/>
  <c r="J38" i="12"/>
  <c r="I38" i="12"/>
  <c r="J37" i="12"/>
  <c r="I37" i="12"/>
  <c r="J36" i="12"/>
  <c r="I36" i="12"/>
  <c r="J33" i="12"/>
  <c r="I33" i="12"/>
  <c r="J32" i="12"/>
  <c r="I32" i="12"/>
  <c r="J29" i="12"/>
  <c r="I29" i="12"/>
  <c r="J28" i="12"/>
  <c r="I28" i="12"/>
  <c r="K28" i="12" s="1"/>
  <c r="J27" i="12"/>
  <c r="I27" i="12"/>
  <c r="J26" i="12"/>
  <c r="I26" i="12"/>
  <c r="J25" i="12"/>
  <c r="I25" i="12"/>
  <c r="J24" i="12"/>
  <c r="I24" i="12"/>
  <c r="K24" i="12" s="1"/>
  <c r="J21" i="12"/>
  <c r="I21" i="12"/>
  <c r="J20" i="12"/>
  <c r="I20" i="12"/>
  <c r="J19" i="12"/>
  <c r="I19" i="12"/>
  <c r="J18" i="12"/>
  <c r="I18" i="12"/>
  <c r="H18" i="12"/>
  <c r="J17" i="12"/>
  <c r="I17" i="12"/>
  <c r="H17" i="12"/>
  <c r="H16" i="12"/>
  <c r="J15" i="12"/>
  <c r="I15" i="12"/>
  <c r="H15" i="12"/>
  <c r="J14" i="12"/>
  <c r="I14" i="12"/>
  <c r="H14" i="12"/>
  <c r="J13" i="12"/>
  <c r="I13" i="12"/>
  <c r="H13" i="12"/>
  <c r="J12" i="12"/>
  <c r="I12" i="12"/>
  <c r="H12" i="12"/>
  <c r="J11" i="12"/>
  <c r="I11" i="12"/>
  <c r="H11" i="12"/>
  <c r="J10" i="12"/>
  <c r="I10" i="12"/>
  <c r="H10" i="12"/>
  <c r="H9" i="12"/>
  <c r="J8" i="12"/>
  <c r="I8" i="12"/>
  <c r="H8" i="12"/>
  <c r="J7" i="12"/>
  <c r="I7" i="12"/>
  <c r="H7" i="12"/>
  <c r="J6" i="12"/>
  <c r="I6" i="12"/>
  <c r="J5" i="12"/>
  <c r="I5" i="12"/>
  <c r="J3" i="12"/>
  <c r="I3" i="12"/>
  <c r="H2" i="12"/>
  <c r="K1" i="12"/>
  <c r="J1" i="12"/>
  <c r="I1" i="12"/>
  <c r="H1" i="12"/>
  <c r="G1" i="12"/>
  <c r="E1" i="12"/>
  <c r="D1" i="12"/>
  <c r="C1" i="12"/>
  <c r="J10" i="11"/>
  <c r="I10" i="11"/>
  <c r="A10" i="11"/>
  <c r="J9" i="11"/>
  <c r="I9" i="11"/>
  <c r="A9" i="11"/>
  <c r="J8" i="11"/>
  <c r="I8" i="11"/>
  <c r="A8" i="11"/>
  <c r="J7" i="11"/>
  <c r="I7" i="11"/>
  <c r="A7" i="11"/>
  <c r="J6" i="11"/>
  <c r="I6" i="11"/>
  <c r="A6" i="11"/>
  <c r="J5" i="11"/>
  <c r="I5" i="11"/>
  <c r="A5" i="11"/>
  <c r="J4" i="11"/>
  <c r="I4" i="11"/>
  <c r="A4" i="11"/>
  <c r="J3" i="11"/>
  <c r="I3" i="11"/>
  <c r="A3" i="11"/>
  <c r="K1" i="11"/>
  <c r="J1" i="11"/>
  <c r="I1" i="11"/>
  <c r="H1" i="11"/>
  <c r="G1" i="11"/>
  <c r="H3" i="11" s="1"/>
  <c r="E47" i="2" s="1"/>
  <c r="E1" i="11"/>
  <c r="D1" i="11"/>
  <c r="C1" i="11"/>
  <c r="J43" i="10"/>
  <c r="I43" i="10"/>
  <c r="A43" i="10"/>
  <c r="J42" i="10"/>
  <c r="I42" i="10"/>
  <c r="A42" i="10"/>
  <c r="J41" i="10"/>
  <c r="I41" i="10"/>
  <c r="K41" i="10" s="1"/>
  <c r="A41" i="10"/>
  <c r="A40" i="10"/>
  <c r="J39" i="10"/>
  <c r="I39" i="10"/>
  <c r="A39" i="10"/>
  <c r="J38" i="10"/>
  <c r="I38" i="10"/>
  <c r="A38" i="10"/>
  <c r="J37" i="10"/>
  <c r="I37" i="10"/>
  <c r="A37" i="10"/>
  <c r="J36" i="10"/>
  <c r="I36" i="10"/>
  <c r="A36" i="10"/>
  <c r="A35" i="10"/>
  <c r="J34" i="10"/>
  <c r="I34" i="10"/>
  <c r="A34" i="10"/>
  <c r="J33" i="10"/>
  <c r="I33" i="10"/>
  <c r="A33" i="10"/>
  <c r="J32" i="10"/>
  <c r="K32" i="10" s="1"/>
  <c r="I32" i="10"/>
  <c r="A32" i="10"/>
  <c r="A31" i="10"/>
  <c r="J30" i="10"/>
  <c r="I30" i="10"/>
  <c r="A30" i="10"/>
  <c r="A29" i="10"/>
  <c r="J28" i="10"/>
  <c r="I28" i="10"/>
  <c r="K28" i="10" s="1"/>
  <c r="A28" i="10"/>
  <c r="J27" i="10"/>
  <c r="I27" i="10"/>
  <c r="A27" i="10"/>
  <c r="J26" i="10"/>
  <c r="I26" i="10"/>
  <c r="A26" i="10"/>
  <c r="J25" i="10"/>
  <c r="I25" i="10"/>
  <c r="A25" i="10"/>
  <c r="J24" i="10"/>
  <c r="I24" i="10"/>
  <c r="A24" i="10"/>
  <c r="J23" i="10"/>
  <c r="I23" i="10"/>
  <c r="A23" i="10"/>
  <c r="J22" i="10"/>
  <c r="I22" i="10"/>
  <c r="A22" i="10"/>
  <c r="J21" i="10"/>
  <c r="I21" i="10"/>
  <c r="A21" i="10"/>
  <c r="J20" i="10"/>
  <c r="K20" i="10" s="1"/>
  <c r="I20" i="10"/>
  <c r="A20" i="10"/>
  <c r="J19" i="10"/>
  <c r="I19" i="10"/>
  <c r="A19" i="10"/>
  <c r="J18" i="10"/>
  <c r="I18" i="10"/>
  <c r="H18" i="10"/>
  <c r="A18" i="10"/>
  <c r="J17" i="10"/>
  <c r="I17" i="10"/>
  <c r="H17" i="10"/>
  <c r="A17" i="10"/>
  <c r="J16" i="10"/>
  <c r="I16" i="10"/>
  <c r="H16" i="10"/>
  <c r="A16" i="10"/>
  <c r="J15" i="10"/>
  <c r="I15" i="10"/>
  <c r="H15" i="10"/>
  <c r="A15" i="10"/>
  <c r="J14" i="10"/>
  <c r="I14" i="10"/>
  <c r="H14" i="10"/>
  <c r="A14" i="10"/>
  <c r="J13" i="10"/>
  <c r="I13" i="10"/>
  <c r="H13" i="10"/>
  <c r="A13" i="10"/>
  <c r="J12" i="10"/>
  <c r="I12" i="10"/>
  <c r="H12" i="10"/>
  <c r="A12" i="10"/>
  <c r="J11" i="10"/>
  <c r="I11" i="10"/>
  <c r="H11" i="10"/>
  <c r="A11" i="10"/>
  <c r="J10" i="10"/>
  <c r="I10" i="10"/>
  <c r="H10" i="10"/>
  <c r="A10" i="10"/>
  <c r="H9" i="10"/>
  <c r="A9" i="10"/>
  <c r="J8" i="10"/>
  <c r="I8" i="10"/>
  <c r="H8" i="10"/>
  <c r="A8" i="10"/>
  <c r="J7" i="10"/>
  <c r="I7" i="10"/>
  <c r="H7" i="10"/>
  <c r="A7" i="10"/>
  <c r="A6" i="10"/>
  <c r="J5" i="10"/>
  <c r="I5" i="10"/>
  <c r="A5" i="10"/>
  <c r="J4" i="10"/>
  <c r="I4" i="10"/>
  <c r="A4" i="10"/>
  <c r="J3" i="10"/>
  <c r="I3" i="10"/>
  <c r="A3" i="10"/>
  <c r="H2" i="10"/>
  <c r="K1" i="10"/>
  <c r="J1" i="10"/>
  <c r="I1" i="10"/>
  <c r="H1" i="10"/>
  <c r="G1" i="10"/>
  <c r="H4" i="10" s="1"/>
  <c r="E1" i="10"/>
  <c r="D1" i="10"/>
  <c r="C1" i="10"/>
  <c r="J26" i="8"/>
  <c r="I26" i="8"/>
  <c r="A26" i="8"/>
  <c r="J25" i="8"/>
  <c r="I25" i="8"/>
  <c r="A25" i="8"/>
  <c r="J24" i="8"/>
  <c r="I24" i="8"/>
  <c r="A24" i="8"/>
  <c r="A23" i="8"/>
  <c r="J22" i="8"/>
  <c r="I22" i="8"/>
  <c r="K22" i="8" s="1"/>
  <c r="A22" i="8"/>
  <c r="J21" i="8"/>
  <c r="I21" i="8"/>
  <c r="A21" i="8"/>
  <c r="J20" i="8"/>
  <c r="I20" i="8"/>
  <c r="A20" i="8"/>
  <c r="J19" i="8"/>
  <c r="I19" i="8"/>
  <c r="A19" i="8"/>
  <c r="H18" i="8"/>
  <c r="A18" i="8"/>
  <c r="J17" i="8"/>
  <c r="I17" i="8"/>
  <c r="H17" i="8"/>
  <c r="A17" i="8"/>
  <c r="J16" i="8"/>
  <c r="I16" i="8"/>
  <c r="H16" i="8"/>
  <c r="A16" i="8"/>
  <c r="J15" i="8"/>
  <c r="I15" i="8"/>
  <c r="K15" i="8" s="1"/>
  <c r="H15" i="8"/>
  <c r="A15" i="8"/>
  <c r="J14" i="8"/>
  <c r="I14" i="8"/>
  <c r="H14" i="8"/>
  <c r="A14" i="8"/>
  <c r="J13" i="8"/>
  <c r="I13" i="8"/>
  <c r="H13" i="8"/>
  <c r="A13" i="8"/>
  <c r="J12" i="8"/>
  <c r="I12" i="8"/>
  <c r="H12" i="8"/>
  <c r="A12" i="8"/>
  <c r="H11" i="8"/>
  <c r="A11" i="8"/>
  <c r="J10" i="8"/>
  <c r="I10" i="8"/>
  <c r="H10" i="8"/>
  <c r="A10" i="8"/>
  <c r="J9" i="8"/>
  <c r="I9" i="8"/>
  <c r="K9" i="8" s="1"/>
  <c r="H9" i="8"/>
  <c r="A9" i="8"/>
  <c r="J8" i="8"/>
  <c r="I8" i="8"/>
  <c r="H8" i="8"/>
  <c r="A8" i="8"/>
  <c r="J7" i="8"/>
  <c r="I7" i="8"/>
  <c r="H7" i="8"/>
  <c r="A7" i="8"/>
  <c r="J6" i="8"/>
  <c r="I6" i="8"/>
  <c r="A6" i="8"/>
  <c r="J5" i="8"/>
  <c r="I5" i="8"/>
  <c r="A5" i="8"/>
  <c r="J4" i="8"/>
  <c r="I4" i="8"/>
  <c r="H4" i="8"/>
  <c r="A4" i="8"/>
  <c r="J3" i="8"/>
  <c r="I3" i="8"/>
  <c r="A3" i="8"/>
  <c r="L2" i="8"/>
  <c r="H2" i="8"/>
  <c r="K1" i="8"/>
  <c r="J1" i="8"/>
  <c r="I1" i="8"/>
  <c r="H1" i="8"/>
  <c r="G1" i="8"/>
  <c r="H5" i="8" s="1"/>
  <c r="E1" i="8"/>
  <c r="D1" i="8"/>
  <c r="C1" i="8"/>
  <c r="H140" i="2"/>
  <c r="G140" i="2"/>
  <c r="F140" i="2"/>
  <c r="E140" i="2"/>
  <c r="J6" i="3"/>
  <c r="I6" i="3"/>
  <c r="J25" i="6"/>
  <c r="I25" i="6"/>
  <c r="A25" i="6"/>
  <c r="J24" i="6"/>
  <c r="I24" i="6"/>
  <c r="A24" i="6"/>
  <c r="J23" i="6"/>
  <c r="I23" i="6"/>
  <c r="K23" i="6" s="1"/>
  <c r="A23" i="6"/>
  <c r="A22" i="6"/>
  <c r="J21" i="6"/>
  <c r="I21" i="6"/>
  <c r="A21" i="6"/>
  <c r="J20" i="6"/>
  <c r="I20" i="6"/>
  <c r="A20" i="6"/>
  <c r="J19" i="6"/>
  <c r="I19" i="6"/>
  <c r="A19" i="6"/>
  <c r="J18" i="6"/>
  <c r="I18" i="6"/>
  <c r="H18" i="6"/>
  <c r="A18" i="6"/>
  <c r="H17" i="6"/>
  <c r="A17" i="6"/>
  <c r="J16" i="6"/>
  <c r="I16" i="6"/>
  <c r="H16" i="6"/>
  <c r="A16" i="6"/>
  <c r="J15" i="6"/>
  <c r="I15" i="6"/>
  <c r="H15" i="6"/>
  <c r="A15" i="6"/>
  <c r="J14" i="6"/>
  <c r="I14" i="6"/>
  <c r="H14" i="6"/>
  <c r="A14" i="6"/>
  <c r="J13" i="6"/>
  <c r="I13" i="6"/>
  <c r="H13" i="6"/>
  <c r="A13" i="6"/>
  <c r="J12" i="6"/>
  <c r="I12" i="6"/>
  <c r="H12" i="6"/>
  <c r="A12" i="6"/>
  <c r="J11" i="6"/>
  <c r="I11" i="6"/>
  <c r="H11" i="6"/>
  <c r="A11" i="6"/>
  <c r="J10" i="6"/>
  <c r="I10" i="6"/>
  <c r="H10" i="6"/>
  <c r="A10" i="6"/>
  <c r="H9" i="6"/>
  <c r="A9" i="6"/>
  <c r="J8" i="6"/>
  <c r="I8" i="6"/>
  <c r="H8" i="6"/>
  <c r="A8" i="6"/>
  <c r="J7" i="6"/>
  <c r="I7" i="6"/>
  <c r="H7" i="6"/>
  <c r="A7" i="6"/>
  <c r="J6" i="6"/>
  <c r="K6" i="6" s="1"/>
  <c r="I6" i="6"/>
  <c r="A6" i="6"/>
  <c r="J5" i="6"/>
  <c r="I5" i="6"/>
  <c r="A5" i="6"/>
  <c r="J4" i="6"/>
  <c r="I4" i="6"/>
  <c r="A4" i="6"/>
  <c r="J3" i="6"/>
  <c r="I3" i="6"/>
  <c r="A3" i="6"/>
  <c r="H2" i="6"/>
  <c r="K1" i="6"/>
  <c r="J1" i="6"/>
  <c r="I1" i="6"/>
  <c r="H1" i="6"/>
  <c r="G1" i="6"/>
  <c r="H3" i="6" s="1"/>
  <c r="E1" i="6"/>
  <c r="D1" i="6"/>
  <c r="C1" i="6"/>
  <c r="J68" i="5"/>
  <c r="I68" i="5"/>
  <c r="A68" i="5"/>
  <c r="J67" i="5"/>
  <c r="I67" i="5"/>
  <c r="A67" i="5"/>
  <c r="J66" i="5"/>
  <c r="I66" i="5"/>
  <c r="A66" i="5"/>
  <c r="J64" i="5"/>
  <c r="I64" i="5"/>
  <c r="A64" i="5"/>
  <c r="J63" i="5"/>
  <c r="I63" i="5"/>
  <c r="A63" i="5"/>
  <c r="J60" i="5"/>
  <c r="I60" i="5"/>
  <c r="A60" i="5"/>
  <c r="J59" i="5"/>
  <c r="I59" i="5"/>
  <c r="A59" i="5"/>
  <c r="J58" i="5"/>
  <c r="I58" i="5"/>
  <c r="A58" i="5"/>
  <c r="J56" i="5"/>
  <c r="I56" i="5"/>
  <c r="A56" i="5"/>
  <c r="J55" i="5"/>
  <c r="I55" i="5"/>
  <c r="A55" i="5"/>
  <c r="J54" i="5"/>
  <c r="I54" i="5"/>
  <c r="A54" i="5"/>
  <c r="J52" i="5"/>
  <c r="I52" i="5"/>
  <c r="A52" i="5"/>
  <c r="J51" i="5"/>
  <c r="I51" i="5"/>
  <c r="A51" i="5"/>
  <c r="J49" i="5"/>
  <c r="I49" i="5"/>
  <c r="A49" i="5"/>
  <c r="J47" i="5"/>
  <c r="I47" i="5"/>
  <c r="A47" i="5"/>
  <c r="J46" i="5"/>
  <c r="I46" i="5"/>
  <c r="A46" i="5"/>
  <c r="J44" i="5"/>
  <c r="I44" i="5"/>
  <c r="A44" i="5"/>
  <c r="J42" i="5"/>
  <c r="I42" i="5"/>
  <c r="A42" i="5"/>
  <c r="J41" i="5"/>
  <c r="I41" i="5"/>
  <c r="A41" i="5"/>
  <c r="J40" i="5"/>
  <c r="I40" i="5"/>
  <c r="A40" i="5"/>
  <c r="J39" i="5"/>
  <c r="I39" i="5"/>
  <c r="A39" i="5"/>
  <c r="J38" i="5"/>
  <c r="I38" i="5"/>
  <c r="A38" i="5"/>
  <c r="J37" i="5"/>
  <c r="I37" i="5"/>
  <c r="A37" i="5"/>
  <c r="J35" i="5"/>
  <c r="I35" i="5"/>
  <c r="A35" i="5"/>
  <c r="J33" i="5"/>
  <c r="I33" i="5"/>
  <c r="A33" i="5"/>
  <c r="J32" i="5"/>
  <c r="I32" i="5"/>
  <c r="A32" i="5"/>
  <c r="J31" i="5"/>
  <c r="I31" i="5"/>
  <c r="A31" i="5"/>
  <c r="J29" i="5"/>
  <c r="I29" i="5"/>
  <c r="A29" i="5"/>
  <c r="J28" i="5"/>
  <c r="I28" i="5"/>
  <c r="A28" i="5"/>
  <c r="A26" i="5"/>
  <c r="J25" i="5"/>
  <c r="I25" i="5"/>
  <c r="A25" i="5"/>
  <c r="J24" i="5"/>
  <c r="I24" i="5"/>
  <c r="A24" i="5"/>
  <c r="J23" i="5"/>
  <c r="I23" i="5"/>
  <c r="A23" i="5"/>
  <c r="J22" i="5"/>
  <c r="I22" i="5"/>
  <c r="A22" i="5"/>
  <c r="J20" i="5"/>
  <c r="I20" i="5"/>
  <c r="A20" i="5"/>
  <c r="J19" i="5"/>
  <c r="I19" i="5"/>
  <c r="A19" i="5"/>
  <c r="J18" i="5"/>
  <c r="I18" i="5"/>
  <c r="A18" i="5"/>
  <c r="J17" i="5"/>
  <c r="I17" i="5"/>
  <c r="A17" i="5"/>
  <c r="J15" i="5"/>
  <c r="I15" i="5"/>
  <c r="A15" i="5"/>
  <c r="J14" i="5"/>
  <c r="I14" i="5"/>
  <c r="A14" i="5"/>
  <c r="J13" i="5"/>
  <c r="I13" i="5"/>
  <c r="K13" i="5" s="1"/>
  <c r="A13" i="5"/>
  <c r="J12" i="5"/>
  <c r="I12" i="5"/>
  <c r="A12" i="5"/>
  <c r="J11" i="5"/>
  <c r="I11" i="5"/>
  <c r="A11" i="5"/>
  <c r="J9" i="5"/>
  <c r="I9" i="5"/>
  <c r="A9" i="5"/>
  <c r="J8" i="5"/>
  <c r="I8" i="5"/>
  <c r="A8" i="5"/>
  <c r="J7" i="5"/>
  <c r="I7" i="5"/>
  <c r="A7" i="5"/>
  <c r="J6" i="5"/>
  <c r="I6" i="5"/>
  <c r="A6" i="5"/>
  <c r="J5" i="5"/>
  <c r="I5" i="5"/>
  <c r="A5" i="5"/>
  <c r="J4" i="5"/>
  <c r="I4" i="5"/>
  <c r="A4" i="5"/>
  <c r="J3" i="5"/>
  <c r="I3" i="5"/>
  <c r="A3" i="5"/>
  <c r="K1" i="5"/>
  <c r="J1" i="5"/>
  <c r="I1" i="5"/>
  <c r="G1" i="5"/>
  <c r="E1" i="5"/>
  <c r="D1" i="5"/>
  <c r="C1" i="5"/>
  <c r="D28" i="3"/>
  <c r="D27" i="3"/>
  <c r="F26" i="3"/>
  <c r="D26" i="3"/>
  <c r="D25" i="3"/>
  <c r="D24" i="3"/>
  <c r="F23" i="3"/>
  <c r="D23" i="3"/>
  <c r="D22" i="3"/>
  <c r="F20" i="3"/>
  <c r="D20" i="3"/>
  <c r="H19" i="3"/>
  <c r="D19" i="3"/>
  <c r="D18" i="3"/>
  <c r="D17" i="3"/>
  <c r="F16" i="3"/>
  <c r="D16" i="3"/>
  <c r="F15" i="3"/>
  <c r="D15" i="3"/>
  <c r="F14" i="3"/>
  <c r="D14" i="3"/>
  <c r="D11" i="3"/>
  <c r="F10" i="3"/>
  <c r="D10" i="3"/>
  <c r="D9" i="3"/>
  <c r="D8" i="3"/>
  <c r="F6" i="3"/>
  <c r="D6" i="3"/>
  <c r="D5" i="3"/>
  <c r="J1" i="3"/>
  <c r="I1" i="3"/>
  <c r="H1" i="3"/>
  <c r="G1" i="3"/>
  <c r="E1" i="3"/>
  <c r="C1" i="3"/>
  <c r="D162" i="2"/>
  <c r="B162" i="2"/>
  <c r="D161" i="2"/>
  <c r="B161" i="2"/>
  <c r="D160" i="2"/>
  <c r="B160" i="2"/>
  <c r="D159" i="2"/>
  <c r="B159" i="2"/>
  <c r="D158" i="2"/>
  <c r="B158" i="2"/>
  <c r="D157" i="2"/>
  <c r="B157" i="2"/>
  <c r="D156" i="2"/>
  <c r="B156" i="2"/>
  <c r="D154" i="2"/>
  <c r="B154" i="2"/>
  <c r="D153" i="2"/>
  <c r="B153" i="2"/>
  <c r="D152" i="2"/>
  <c r="B152" i="2"/>
  <c r="D151" i="2"/>
  <c r="B151" i="2"/>
  <c r="D150" i="2"/>
  <c r="B150" i="2"/>
  <c r="D149" i="2"/>
  <c r="B149" i="2"/>
  <c r="D148" i="2"/>
  <c r="B148" i="2"/>
  <c r="D147" i="2"/>
  <c r="B147" i="2"/>
  <c r="D145" i="2"/>
  <c r="B145" i="2"/>
  <c r="D144" i="2"/>
  <c r="B144" i="2"/>
  <c r="B143" i="2"/>
  <c r="D142" i="2"/>
  <c r="B142" i="2"/>
  <c r="D140" i="2"/>
  <c r="B140" i="2"/>
  <c r="D139" i="2"/>
  <c r="B139" i="2"/>
  <c r="D126" i="2"/>
  <c r="D125" i="2"/>
  <c r="D124" i="2"/>
  <c r="D123" i="2"/>
  <c r="D122" i="2"/>
  <c r="D121" i="2"/>
  <c r="D119" i="2"/>
  <c r="D118" i="2"/>
  <c r="D117" i="2"/>
  <c r="D116" i="2"/>
  <c r="D115" i="2"/>
  <c r="D114" i="2"/>
  <c r="D113" i="2"/>
  <c r="B113" i="2"/>
  <c r="D111" i="2"/>
  <c r="B111" i="2"/>
  <c r="D110" i="2"/>
  <c r="B110" i="2"/>
  <c r="D109" i="2"/>
  <c r="B109" i="2"/>
  <c r="D108" i="2"/>
  <c r="B108" i="2"/>
  <c r="D95" i="2"/>
  <c r="B95" i="2"/>
  <c r="D94" i="2"/>
  <c r="B94" i="2"/>
  <c r="E93" i="2"/>
  <c r="D93" i="2"/>
  <c r="B93" i="2"/>
  <c r="D92" i="2"/>
  <c r="B92" i="2"/>
  <c r="D91" i="2"/>
  <c r="B91" i="2"/>
  <c r="D90" i="2"/>
  <c r="B90" i="2"/>
  <c r="D88" i="2"/>
  <c r="B88" i="2"/>
  <c r="D87" i="2"/>
  <c r="B87" i="2"/>
  <c r="D86" i="2"/>
  <c r="B86" i="2"/>
  <c r="D85" i="2"/>
  <c r="B85" i="2"/>
  <c r="D84" i="2"/>
  <c r="B84" i="2"/>
  <c r="D83" i="2"/>
  <c r="B83" i="2"/>
  <c r="D82" i="2"/>
  <c r="C82" i="2"/>
  <c r="B82" i="2"/>
  <c r="D80" i="2"/>
  <c r="B80" i="2"/>
  <c r="D79" i="2"/>
  <c r="B79" i="2"/>
  <c r="D78" i="2"/>
  <c r="B78" i="2"/>
  <c r="D77" i="2"/>
  <c r="B77" i="2"/>
  <c r="B64" i="2"/>
  <c r="B63" i="2"/>
  <c r="D62" i="2"/>
  <c r="B62" i="2"/>
  <c r="B61" i="2"/>
  <c r="B60" i="2"/>
  <c r="D59" i="2"/>
  <c r="B59" i="2"/>
  <c r="D57" i="2"/>
  <c r="B57" i="2"/>
  <c r="B56" i="2"/>
  <c r="B55" i="2"/>
  <c r="D54" i="2"/>
  <c r="B54" i="2"/>
  <c r="B53" i="2"/>
  <c r="D52" i="2"/>
  <c r="B52" i="2"/>
  <c r="B51" i="2"/>
  <c r="D49" i="2"/>
  <c r="B49" i="2"/>
  <c r="B48" i="2"/>
  <c r="B47" i="2"/>
  <c r="B46" i="2"/>
  <c r="I32" i="2"/>
  <c r="H32" i="2"/>
  <c r="G32" i="2"/>
  <c r="F32" i="2"/>
  <c r="B32" i="2"/>
  <c r="I31" i="2"/>
  <c r="H31" i="2"/>
  <c r="G31" i="2"/>
  <c r="F31" i="2"/>
  <c r="B31" i="2"/>
  <c r="I30" i="2"/>
  <c r="H30" i="2"/>
  <c r="G30" i="2"/>
  <c r="F30" i="2"/>
  <c r="D30" i="2"/>
  <c r="B30" i="2"/>
  <c r="I29" i="2"/>
  <c r="H29" i="2"/>
  <c r="G29" i="2"/>
  <c r="K28" i="2"/>
  <c r="B29" i="2"/>
  <c r="I28" i="2"/>
  <c r="H28" i="2"/>
  <c r="G28" i="2"/>
  <c r="F28" i="2"/>
  <c r="B28" i="2"/>
  <c r="I27" i="2"/>
  <c r="H27" i="2"/>
  <c r="G27" i="2"/>
  <c r="F27" i="2"/>
  <c r="D27" i="2"/>
  <c r="B27" i="2"/>
  <c r="I25" i="2"/>
  <c r="H25" i="2"/>
  <c r="G25" i="2"/>
  <c r="F25" i="2"/>
  <c r="D25" i="2"/>
  <c r="B25" i="2"/>
  <c r="I24" i="2"/>
  <c r="H24" i="2"/>
  <c r="G24" i="2"/>
  <c r="F24" i="2"/>
  <c r="B24" i="2"/>
  <c r="I23" i="2"/>
  <c r="H23" i="2"/>
  <c r="G23" i="2"/>
  <c r="F23" i="2"/>
  <c r="B23" i="2"/>
  <c r="I22" i="2"/>
  <c r="H22" i="2"/>
  <c r="G22" i="2"/>
  <c r="F22" i="2"/>
  <c r="B22" i="2"/>
  <c r="I21" i="2"/>
  <c r="H21" i="2"/>
  <c r="G21" i="2"/>
  <c r="F21" i="2"/>
  <c r="B21" i="2"/>
  <c r="I20" i="2"/>
  <c r="H20" i="2"/>
  <c r="G20" i="2"/>
  <c r="F20" i="2"/>
  <c r="D20" i="2"/>
  <c r="B20" i="2"/>
  <c r="I19" i="2"/>
  <c r="H19" i="2"/>
  <c r="G19" i="2"/>
  <c r="F19" i="2"/>
  <c r="B19" i="2"/>
  <c r="I17" i="2"/>
  <c r="H17" i="2"/>
  <c r="G17" i="2"/>
  <c r="F17" i="2"/>
  <c r="B17" i="2"/>
  <c r="I16" i="2"/>
  <c r="H16" i="2"/>
  <c r="G16" i="2"/>
  <c r="F16" i="2"/>
  <c r="B16" i="2"/>
  <c r="I15" i="2"/>
  <c r="H15" i="2"/>
  <c r="G15" i="2"/>
  <c r="F15" i="2"/>
  <c r="B15" i="2"/>
  <c r="I14" i="2"/>
  <c r="H14" i="2"/>
  <c r="G14" i="2"/>
  <c r="F14" i="2"/>
  <c r="B14" i="2"/>
  <c r="K31" i="2" l="1"/>
  <c r="J26" i="2"/>
  <c r="J22" i="2"/>
  <c r="J18" i="2"/>
  <c r="H64" i="2"/>
  <c r="H62" i="2"/>
  <c r="G57" i="2"/>
  <c r="I143" i="2"/>
  <c r="F28" i="3"/>
  <c r="D32" i="2"/>
  <c r="K33" i="49"/>
  <c r="K95" i="49"/>
  <c r="K6" i="44"/>
  <c r="K27" i="43"/>
  <c r="K50" i="43"/>
  <c r="H5" i="43"/>
  <c r="I25" i="3" s="1"/>
  <c r="H4" i="43"/>
  <c r="H3" i="43"/>
  <c r="H6" i="43"/>
  <c r="K13" i="43"/>
  <c r="K3" i="43"/>
  <c r="F24" i="3"/>
  <c r="D60" i="2"/>
  <c r="K95" i="39"/>
  <c r="G22" i="3"/>
  <c r="G58" i="2"/>
  <c r="I21" i="3"/>
  <c r="F58" i="2"/>
  <c r="H21" i="3"/>
  <c r="H58" i="2"/>
  <c r="J21" i="3"/>
  <c r="F17" i="3"/>
  <c r="J17" i="3"/>
  <c r="H6" i="18"/>
  <c r="H50" i="2" s="1"/>
  <c r="H5" i="18"/>
  <c r="G50" i="2" s="1"/>
  <c r="H4" i="18"/>
  <c r="F50" i="2" s="1"/>
  <c r="H3" i="18"/>
  <c r="K16" i="18"/>
  <c r="K10" i="18"/>
  <c r="K12" i="18"/>
  <c r="D48" i="2"/>
  <c r="F9" i="3"/>
  <c r="D16" i="2"/>
  <c r="K20" i="2" s="1"/>
  <c r="F110" i="2"/>
  <c r="G110" i="2"/>
  <c r="G107" i="2" s="1"/>
  <c r="D47" i="2"/>
  <c r="F8" i="3"/>
  <c r="D15" i="2"/>
  <c r="D138" i="2"/>
  <c r="K56" i="5"/>
  <c r="I139" i="2"/>
  <c r="K25" i="26"/>
  <c r="K42" i="26"/>
  <c r="K34" i="26"/>
  <c r="K55" i="26"/>
  <c r="H4" i="26"/>
  <c r="H16" i="3" s="1"/>
  <c r="F76" i="2"/>
  <c r="E26" i="2"/>
  <c r="E58" i="2"/>
  <c r="C16" i="2"/>
  <c r="I126" i="2"/>
  <c r="J31" i="2"/>
  <c r="J28" i="2"/>
  <c r="C29" i="2"/>
  <c r="C22" i="2"/>
  <c r="K55" i="5"/>
  <c r="K5" i="26"/>
  <c r="K31" i="26"/>
  <c r="K15" i="29"/>
  <c r="K6" i="33"/>
  <c r="K19" i="38"/>
  <c r="K18" i="42"/>
  <c r="K12" i="43"/>
  <c r="K3" i="44"/>
  <c r="K139" i="49"/>
  <c r="K76" i="49"/>
  <c r="K92" i="49"/>
  <c r="K120" i="49"/>
  <c r="K150" i="49"/>
  <c r="K19" i="22"/>
  <c r="K52" i="46"/>
  <c r="K88" i="46"/>
  <c r="H12" i="3"/>
  <c r="K38" i="29"/>
  <c r="K11" i="44"/>
  <c r="K18" i="44"/>
  <c r="K25" i="47"/>
  <c r="K26" i="43"/>
  <c r="K49" i="43"/>
  <c r="K63" i="29"/>
  <c r="K31" i="33"/>
  <c r="K58" i="33"/>
  <c r="K84" i="33"/>
  <c r="K180" i="49"/>
  <c r="K22" i="18"/>
  <c r="K15" i="23"/>
  <c r="K18" i="5"/>
  <c r="K28" i="5"/>
  <c r="K14" i="12"/>
  <c r="K20" i="14"/>
  <c r="H6" i="22"/>
  <c r="K23" i="22"/>
  <c r="K113" i="29"/>
  <c r="K6" i="30"/>
  <c r="K12" i="44"/>
  <c r="K41" i="49"/>
  <c r="K163" i="49"/>
  <c r="K7" i="12"/>
  <c r="K21" i="14"/>
  <c r="K13" i="30"/>
  <c r="K81" i="46"/>
  <c r="K58" i="49"/>
  <c r="K36" i="46"/>
  <c r="K20" i="49"/>
  <c r="K66" i="49"/>
  <c r="K80" i="49"/>
  <c r="K108" i="49"/>
  <c r="J13" i="3"/>
  <c r="I12" i="3"/>
  <c r="K148" i="49"/>
  <c r="K5" i="11"/>
  <c r="K12" i="21"/>
  <c r="K38" i="26"/>
  <c r="K12" i="33"/>
  <c r="K14" i="41"/>
  <c r="K16" i="6"/>
  <c r="K30" i="26"/>
  <c r="K52" i="29"/>
  <c r="K12" i="45"/>
  <c r="K5" i="12"/>
  <c r="K29" i="20"/>
  <c r="K14" i="31"/>
  <c r="K21" i="31"/>
  <c r="K34" i="43"/>
  <c r="K56" i="43"/>
  <c r="K4" i="44"/>
  <c r="K14" i="45"/>
  <c r="K18" i="46"/>
  <c r="K31" i="24"/>
  <c r="K50" i="26"/>
  <c r="K16" i="21"/>
  <c r="K13" i="48"/>
  <c r="K10" i="49"/>
  <c r="K23" i="49"/>
  <c r="K69" i="49"/>
  <c r="K11" i="16"/>
  <c r="K3" i="18"/>
  <c r="K23" i="18"/>
  <c r="K9" i="21"/>
  <c r="K19" i="26"/>
  <c r="K17" i="29"/>
  <c r="K25" i="29"/>
  <c r="K17" i="32"/>
  <c r="K13" i="38"/>
  <c r="K39" i="49"/>
  <c r="K27" i="12"/>
  <c r="K43" i="12"/>
  <c r="K4" i="13"/>
  <c r="K2" i="13" s="1"/>
  <c r="K13" i="13"/>
  <c r="K17" i="23"/>
  <c r="K11" i="24"/>
  <c r="K14" i="26"/>
  <c r="K43" i="26"/>
  <c r="K79" i="29"/>
  <c r="K15" i="45"/>
  <c r="K54" i="46"/>
  <c r="K14" i="48"/>
  <c r="K24" i="49"/>
  <c r="K31" i="49"/>
  <c r="K122" i="49"/>
  <c r="K151" i="49"/>
  <c r="K21" i="46"/>
  <c r="K18" i="21"/>
  <c r="K32" i="21"/>
  <c r="K48" i="29"/>
  <c r="K4" i="8"/>
  <c r="K18" i="32"/>
  <c r="K55" i="46"/>
  <c r="K25" i="49"/>
  <c r="K71" i="49"/>
  <c r="K142" i="49"/>
  <c r="K153" i="49"/>
  <c r="K7" i="5"/>
  <c r="K20" i="21"/>
  <c r="K16" i="22"/>
  <c r="K27" i="23"/>
  <c r="K12" i="24"/>
  <c r="K34" i="28"/>
  <c r="K27" i="29"/>
  <c r="K6" i="32"/>
  <c r="K54" i="26"/>
  <c r="K7" i="29"/>
  <c r="K19" i="32"/>
  <c r="K22" i="44"/>
  <c r="K35" i="46"/>
  <c r="K173" i="49"/>
  <c r="K10" i="12"/>
  <c r="K48" i="12"/>
  <c r="K22" i="16"/>
  <c r="K26" i="18"/>
  <c r="K99" i="29"/>
  <c r="K20" i="30"/>
  <c r="K8" i="44"/>
  <c r="K7" i="46"/>
  <c r="K21" i="29"/>
  <c r="K21" i="30"/>
  <c r="K50" i="49"/>
  <c r="K88" i="49"/>
  <c r="K117" i="49"/>
  <c r="K174" i="49"/>
  <c r="K36" i="29"/>
  <c r="K5" i="33"/>
  <c r="K18" i="10"/>
  <c r="K34" i="10"/>
  <c r="K37" i="12"/>
  <c r="K31" i="13"/>
  <c r="K15" i="19"/>
  <c r="K6" i="20"/>
  <c r="K6" i="21"/>
  <c r="K8" i="23"/>
  <c r="K17" i="43"/>
  <c r="K128" i="49"/>
  <c r="K19" i="10"/>
  <c r="K21" i="12"/>
  <c r="K38" i="12"/>
  <c r="K12" i="14"/>
  <c r="K14" i="49"/>
  <c r="K20" i="22"/>
  <c r="K30" i="24"/>
  <c r="K29" i="46"/>
  <c r="K4" i="47"/>
  <c r="K91" i="49"/>
  <c r="K119" i="49"/>
  <c r="K177" i="49"/>
  <c r="K58" i="5"/>
  <c r="K13" i="12"/>
  <c r="K27" i="21"/>
  <c r="K32" i="32"/>
  <c r="K7" i="33"/>
  <c r="K11" i="36"/>
  <c r="H4" i="44"/>
  <c r="K10" i="46"/>
  <c r="K87" i="46"/>
  <c r="K22" i="49"/>
  <c r="K44" i="29"/>
  <c r="I119" i="2"/>
  <c r="K42" i="33"/>
  <c r="K69" i="33"/>
  <c r="K15" i="38"/>
  <c r="K28" i="43"/>
  <c r="K51" i="43"/>
  <c r="K16" i="24"/>
  <c r="K59" i="26"/>
  <c r="K76" i="29"/>
  <c r="K29" i="32"/>
  <c r="K53" i="33"/>
  <c r="K79" i="33"/>
  <c r="K7" i="41"/>
  <c r="K37" i="43"/>
  <c r="K59" i="43"/>
  <c r="K13" i="46"/>
  <c r="K22" i="46"/>
  <c r="K34" i="46"/>
  <c r="K44" i="46"/>
  <c r="K66" i="46"/>
  <c r="K78" i="46"/>
  <c r="K15" i="47"/>
  <c r="K16" i="49"/>
  <c r="K62" i="49"/>
  <c r="K16" i="10"/>
  <c r="K10" i="6"/>
  <c r="K26" i="13"/>
  <c r="K7" i="22"/>
  <c r="K15" i="22"/>
  <c r="K5" i="31"/>
  <c r="K4" i="42"/>
  <c r="K10" i="42"/>
  <c r="K24" i="46"/>
  <c r="K56" i="46"/>
  <c r="K40" i="49"/>
  <c r="K70" i="49"/>
  <c r="K113" i="49"/>
  <c r="K16" i="20"/>
  <c r="K34" i="24"/>
  <c r="K27" i="26"/>
  <c r="K36" i="26"/>
  <c r="K31" i="29"/>
  <c r="K20" i="33"/>
  <c r="K45" i="33"/>
  <c r="K71" i="33"/>
  <c r="K8" i="41"/>
  <c r="K55" i="49"/>
  <c r="K141" i="49"/>
  <c r="K8" i="22"/>
  <c r="K9" i="26"/>
  <c r="K34" i="49"/>
  <c r="K64" i="49"/>
  <c r="K114" i="49"/>
  <c r="H6" i="8"/>
  <c r="K15" i="26"/>
  <c r="K29" i="26"/>
  <c r="K52" i="26"/>
  <c r="K55" i="29"/>
  <c r="K22" i="32"/>
  <c r="K18" i="36"/>
  <c r="K16" i="39"/>
  <c r="K9" i="44"/>
  <c r="J23" i="3"/>
  <c r="K25" i="6"/>
  <c r="K25" i="10"/>
  <c r="K8" i="13"/>
  <c r="K30" i="13"/>
  <c r="K8" i="16"/>
  <c r="K19" i="18"/>
  <c r="K9" i="22"/>
  <c r="K3" i="26"/>
  <c r="K44" i="26"/>
  <c r="K30" i="28"/>
  <c r="K11" i="29"/>
  <c r="K71" i="29"/>
  <c r="K103" i="29"/>
  <c r="K121" i="29"/>
  <c r="K25" i="30"/>
  <c r="K20" i="38"/>
  <c r="K4" i="39"/>
  <c r="K41" i="39"/>
  <c r="K65" i="39"/>
  <c r="K91" i="39"/>
  <c r="K47" i="43"/>
  <c r="K27" i="45"/>
  <c r="K8" i="46"/>
  <c r="K27" i="46"/>
  <c r="K59" i="46"/>
  <c r="K71" i="46"/>
  <c r="K83" i="46"/>
  <c r="K35" i="49"/>
  <c r="K172" i="49"/>
  <c r="K7" i="10"/>
  <c r="K26" i="10"/>
  <c r="K43" i="10"/>
  <c r="K10" i="26"/>
  <c r="K22" i="33"/>
  <c r="K48" i="33"/>
  <c r="K22" i="38"/>
  <c r="K72" i="46"/>
  <c r="K27" i="49"/>
  <c r="K97" i="49"/>
  <c r="K19" i="29"/>
  <c r="K41" i="29"/>
  <c r="K65" i="29"/>
  <c r="K26" i="30"/>
  <c r="K39" i="46"/>
  <c r="K43" i="49"/>
  <c r="K127" i="49"/>
  <c r="K46" i="12"/>
  <c r="K18" i="20"/>
  <c r="K22" i="36"/>
  <c r="K6" i="40"/>
  <c r="K8" i="43"/>
  <c r="K20" i="45"/>
  <c r="K40" i="46"/>
  <c r="K86" i="46"/>
  <c r="K18" i="48"/>
  <c r="K59" i="49"/>
  <c r="K137" i="49"/>
  <c r="K147" i="49"/>
  <c r="K20" i="12"/>
  <c r="K19" i="13"/>
  <c r="K15" i="16"/>
  <c r="K14" i="21"/>
  <c r="H5" i="26"/>
  <c r="K155" i="49"/>
  <c r="K23" i="21"/>
  <c r="E15" i="2"/>
  <c r="G8" i="3"/>
  <c r="K25" i="16"/>
  <c r="K29" i="18"/>
  <c r="K35" i="18"/>
  <c r="K26" i="21"/>
  <c r="K6" i="26"/>
  <c r="K24" i="26"/>
  <c r="K13" i="28"/>
  <c r="K28" i="29"/>
  <c r="K74" i="29"/>
  <c r="K115" i="29"/>
  <c r="K26" i="32"/>
  <c r="K5" i="38"/>
  <c r="K14" i="38"/>
  <c r="K25" i="38"/>
  <c r="K8" i="42"/>
  <c r="K21" i="45"/>
  <c r="K19" i="46"/>
  <c r="K31" i="46"/>
  <c r="K63" i="46"/>
  <c r="K13" i="47"/>
  <c r="H3" i="48"/>
  <c r="K29" i="49"/>
  <c r="K99" i="49"/>
  <c r="K138" i="49"/>
  <c r="H3" i="8"/>
  <c r="K13" i="14"/>
  <c r="K18" i="19"/>
  <c r="K15" i="10"/>
  <c r="K22" i="13"/>
  <c r="K15" i="18"/>
  <c r="K21" i="20"/>
  <c r="K117" i="29"/>
  <c r="K15" i="49"/>
  <c r="K38" i="49"/>
  <c r="K83" i="49"/>
  <c r="K111" i="49"/>
  <c r="K19" i="19"/>
  <c r="K8" i="20"/>
  <c r="K3" i="24"/>
  <c r="K22" i="25"/>
  <c r="K18" i="26"/>
  <c r="K19" i="40"/>
  <c r="K12" i="46"/>
  <c r="K43" i="46"/>
  <c r="K90" i="46"/>
  <c r="K30" i="49"/>
  <c r="K101" i="49"/>
  <c r="K31" i="21"/>
  <c r="K24" i="22"/>
  <c r="K12" i="26"/>
  <c r="K17" i="26"/>
  <c r="K47" i="26"/>
  <c r="K24" i="29"/>
  <c r="K46" i="29"/>
  <c r="K92" i="29"/>
  <c r="K10" i="30"/>
  <c r="K13" i="32"/>
  <c r="K17" i="33"/>
  <c r="K14" i="36"/>
  <c r="K24" i="36"/>
  <c r="K17" i="40"/>
  <c r="K19" i="45"/>
  <c r="K131" i="49"/>
  <c r="K166" i="49"/>
  <c r="K11" i="21"/>
  <c r="K56" i="26"/>
  <c r="K110" i="29"/>
  <c r="K119" i="29"/>
  <c r="K20" i="32"/>
  <c r="K3" i="33"/>
  <c r="K25" i="44"/>
  <c r="K75" i="46"/>
  <c r="K25" i="22"/>
  <c r="K7" i="26"/>
  <c r="K33" i="43"/>
  <c r="K55" i="43"/>
  <c r="K10" i="44"/>
  <c r="K17" i="44"/>
  <c r="K9" i="46"/>
  <c r="K8" i="49"/>
  <c r="K104" i="49"/>
  <c r="K140" i="49"/>
  <c r="K158" i="49"/>
  <c r="K169" i="49"/>
  <c r="K10" i="10"/>
  <c r="K17" i="14"/>
  <c r="K14" i="19"/>
  <c r="K5" i="20"/>
  <c r="K3" i="21"/>
  <c r="K2" i="21" s="1"/>
  <c r="K33" i="21"/>
  <c r="K5" i="24"/>
  <c r="K33" i="24"/>
  <c r="K3" i="25"/>
  <c r="K23" i="25"/>
  <c r="K13" i="26"/>
  <c r="K111" i="29"/>
  <c r="K6" i="38"/>
  <c r="H4" i="48"/>
  <c r="K36" i="49"/>
  <c r="H6" i="14"/>
  <c r="H3" i="10"/>
  <c r="K4" i="6"/>
  <c r="K24" i="8"/>
  <c r="K38" i="10"/>
  <c r="K42" i="18"/>
  <c r="K11" i="20"/>
  <c r="K18" i="23"/>
  <c r="K57" i="26"/>
  <c r="K56" i="29"/>
  <c r="K30" i="32"/>
  <c r="K35" i="33"/>
  <c r="K30" i="39"/>
  <c r="K77" i="39"/>
  <c r="K41" i="43"/>
  <c r="K63" i="43"/>
  <c r="K26" i="46"/>
  <c r="K77" i="46"/>
  <c r="K4" i="48"/>
  <c r="K72" i="49"/>
  <c r="K87" i="49"/>
  <c r="K32" i="18"/>
  <c r="K3" i="6"/>
  <c r="K37" i="10"/>
  <c r="K5" i="8"/>
  <c r="K30" i="10"/>
  <c r="K41" i="12"/>
  <c r="K3" i="16"/>
  <c r="K27" i="18"/>
  <c r="K26" i="20"/>
  <c r="K17" i="24"/>
  <c r="K8" i="26"/>
  <c r="K26" i="29"/>
  <c r="K95" i="29"/>
  <c r="K17" i="30"/>
  <c r="K7" i="38"/>
  <c r="K26" i="47"/>
  <c r="K123" i="49"/>
  <c r="K133" i="49"/>
  <c r="K159" i="49"/>
  <c r="K2" i="52"/>
  <c r="I140" i="2"/>
  <c r="K17" i="8"/>
  <c r="K11" i="10"/>
  <c r="K23" i="10"/>
  <c r="K39" i="10"/>
  <c r="K9" i="11"/>
  <c r="K26" i="12"/>
  <c r="K42" i="12"/>
  <c r="K13" i="21"/>
  <c r="K29" i="22"/>
  <c r="K19" i="23"/>
  <c r="K87" i="29"/>
  <c r="K17" i="36"/>
  <c r="K42" i="43"/>
  <c r="K64" i="43"/>
  <c r="K37" i="46"/>
  <c r="K46" i="46"/>
  <c r="K92" i="46"/>
  <c r="K8" i="47"/>
  <c r="K22" i="48"/>
  <c r="K51" i="49"/>
  <c r="K17" i="13"/>
  <c r="K14" i="18"/>
  <c r="K27" i="20"/>
  <c r="H5" i="25"/>
  <c r="G53" i="2" s="1"/>
  <c r="K34" i="29"/>
  <c r="K10" i="36"/>
  <c r="K22" i="39"/>
  <c r="K47" i="39"/>
  <c r="K71" i="39"/>
  <c r="K97" i="39"/>
  <c r="K9" i="43"/>
  <c r="K14" i="43"/>
  <c r="K5" i="44"/>
  <c r="K57" i="46"/>
  <c r="K6" i="48"/>
  <c r="K73" i="49"/>
  <c r="K107" i="49"/>
  <c r="K171" i="49"/>
  <c r="K6" i="8"/>
  <c r="K12" i="8"/>
  <c r="K17" i="10"/>
  <c r="K19" i="14"/>
  <c r="K7" i="24"/>
  <c r="K13" i="24"/>
  <c r="K26" i="24"/>
  <c r="K73" i="29"/>
  <c r="K131" i="29"/>
  <c r="K7" i="31"/>
  <c r="K46" i="33"/>
  <c r="K72" i="33"/>
  <c r="K16" i="47"/>
  <c r="K29" i="47"/>
  <c r="K134" i="49"/>
  <c r="K160" i="49"/>
  <c r="K46" i="5"/>
  <c r="K12" i="6"/>
  <c r="K18" i="6"/>
  <c r="K26" i="8"/>
  <c r="K4" i="11"/>
  <c r="K25" i="13"/>
  <c r="K4" i="15"/>
  <c r="K16" i="19"/>
  <c r="K7" i="20"/>
  <c r="K7" i="21"/>
  <c r="K10" i="22"/>
  <c r="K17" i="25"/>
  <c r="K20" i="26"/>
  <c r="K60" i="26"/>
  <c r="K35" i="29"/>
  <c r="K66" i="29"/>
  <c r="K105" i="29"/>
  <c r="K122" i="29"/>
  <c r="K24" i="32"/>
  <c r="K92" i="33"/>
  <c r="K18" i="38"/>
  <c r="K56" i="39"/>
  <c r="K79" i="39"/>
  <c r="K3" i="40"/>
  <c r="K20" i="44"/>
  <c r="K38" i="46"/>
  <c r="K45" i="49"/>
  <c r="K4" i="46"/>
  <c r="K48" i="46"/>
  <c r="K58" i="46"/>
  <c r="K30" i="47"/>
  <c r="K11" i="49"/>
  <c r="K67" i="49"/>
  <c r="K81" i="49"/>
  <c r="K90" i="49"/>
  <c r="K98" i="49"/>
  <c r="K8" i="12"/>
  <c r="K46" i="49"/>
  <c r="K53" i="49"/>
  <c r="K154" i="49"/>
  <c r="I159" i="2"/>
  <c r="K19" i="6"/>
  <c r="K7" i="8"/>
  <c r="K13" i="8"/>
  <c r="K17" i="12"/>
  <c r="K29" i="12"/>
  <c r="K3" i="14"/>
  <c r="K5" i="15"/>
  <c r="K14" i="20"/>
  <c r="K8" i="21"/>
  <c r="K15" i="21"/>
  <c r="K8" i="24"/>
  <c r="K14" i="24"/>
  <c r="K61" i="26"/>
  <c r="K59" i="29"/>
  <c r="K89" i="29"/>
  <c r="K106" i="29"/>
  <c r="K5" i="32"/>
  <c r="K25" i="32"/>
  <c r="K38" i="33"/>
  <c r="K66" i="33"/>
  <c r="K11" i="38"/>
  <c r="H4" i="40"/>
  <c r="K15" i="40"/>
  <c r="K5" i="46"/>
  <c r="K49" i="46"/>
  <c r="K26" i="48"/>
  <c r="K5" i="49"/>
  <c r="K61" i="49"/>
  <c r="K7" i="11"/>
  <c r="K27" i="13"/>
  <c r="K6" i="46"/>
  <c r="K60" i="46"/>
  <c r="K16" i="48"/>
  <c r="K12" i="49"/>
  <c r="K54" i="49"/>
  <c r="K164" i="49"/>
  <c r="K4" i="22"/>
  <c r="K2" i="22" s="1"/>
  <c r="K20" i="8"/>
  <c r="K32" i="12"/>
  <c r="H4" i="14"/>
  <c r="K4" i="18"/>
  <c r="K12" i="22"/>
  <c r="K20" i="25"/>
  <c r="K16" i="26"/>
  <c r="K22" i="26"/>
  <c r="K15" i="28"/>
  <c r="K37" i="28"/>
  <c r="K60" i="29"/>
  <c r="K68" i="29"/>
  <c r="K125" i="29"/>
  <c r="H6" i="37"/>
  <c r="K4" i="43"/>
  <c r="K16" i="43"/>
  <c r="K22" i="43"/>
  <c r="K8" i="8"/>
  <c r="K14" i="8"/>
  <c r="K22" i="14"/>
  <c r="K7" i="15"/>
  <c r="K17" i="18"/>
  <c r="K38" i="18"/>
  <c r="K22" i="20"/>
  <c r="K11" i="26"/>
  <c r="K3" i="29"/>
  <c r="K17" i="31"/>
  <c r="H5" i="40"/>
  <c r="H5" i="42"/>
  <c r="K32" i="46"/>
  <c r="K41" i="46"/>
  <c r="K51" i="46"/>
  <c r="K61" i="46"/>
  <c r="K24" i="33"/>
  <c r="K76" i="33"/>
  <c r="K5" i="36"/>
  <c r="K43" i="39"/>
  <c r="K67" i="39"/>
  <c r="K92" i="39"/>
  <c r="K5" i="40"/>
  <c r="K30" i="43"/>
  <c r="K53" i="43"/>
  <c r="K73" i="46"/>
  <c r="K3" i="47"/>
  <c r="K2" i="47" s="1"/>
  <c r="K19" i="49"/>
  <c r="K48" i="49"/>
  <c r="K84" i="49"/>
  <c r="K156" i="49"/>
  <c r="K165" i="49"/>
  <c r="K26" i="5"/>
  <c r="K3" i="8"/>
  <c r="K21" i="8"/>
  <c r="K36" i="12"/>
  <c r="K49" i="12"/>
  <c r="K16" i="13"/>
  <c r="K16" i="29"/>
  <c r="K84" i="29"/>
  <c r="K91" i="29"/>
  <c r="K109" i="29"/>
  <c r="K36" i="10"/>
  <c r="K5" i="14"/>
  <c r="K39" i="18"/>
  <c r="K4" i="19"/>
  <c r="K23" i="19"/>
  <c r="K23" i="20"/>
  <c r="K17" i="21"/>
  <c r="K30" i="21"/>
  <c r="K54" i="29"/>
  <c r="K15" i="30"/>
  <c r="K33" i="33"/>
  <c r="K61" i="33"/>
  <c r="K6" i="36"/>
  <c r="K23" i="36"/>
  <c r="K7" i="37"/>
  <c r="K4" i="38"/>
  <c r="K2" i="38" s="1"/>
  <c r="K6" i="39"/>
  <c r="K26" i="45"/>
  <c r="K10" i="48"/>
  <c r="K26" i="49"/>
  <c r="K85" i="49"/>
  <c r="K94" i="49"/>
  <c r="E54" i="2"/>
  <c r="G16" i="3"/>
  <c r="E22" i="2"/>
  <c r="K50" i="46"/>
  <c r="K91" i="46"/>
  <c r="K7" i="47"/>
  <c r="K13" i="49"/>
  <c r="H4" i="11"/>
  <c r="H5" i="23"/>
  <c r="G52" i="2" s="1"/>
  <c r="H5" i="24"/>
  <c r="K16" i="8"/>
  <c r="K27" i="10"/>
  <c r="K42" i="10"/>
  <c r="K10" i="11"/>
  <c r="K15" i="12"/>
  <c r="K25" i="12"/>
  <c r="K9" i="13"/>
  <c r="K4" i="16"/>
  <c r="K7" i="18"/>
  <c r="K13" i="19"/>
  <c r="K28" i="22"/>
  <c r="K5" i="23"/>
  <c r="K7" i="25"/>
  <c r="K33" i="26"/>
  <c r="K29" i="29"/>
  <c r="K43" i="29"/>
  <c r="K58" i="29"/>
  <c r="K120" i="29"/>
  <c r="K3" i="30"/>
  <c r="K18" i="31"/>
  <c r="K12" i="32"/>
  <c r="K28" i="33"/>
  <c r="K54" i="33"/>
  <c r="K7" i="36"/>
  <c r="K6" i="37"/>
  <c r="K72" i="39"/>
  <c r="K98" i="39"/>
  <c r="K9" i="40"/>
  <c r="K15" i="42"/>
  <c r="H5" i="11"/>
  <c r="H5" i="29"/>
  <c r="K19" i="48"/>
  <c r="K178" i="49"/>
  <c r="H6" i="11"/>
  <c r="K3" i="39"/>
  <c r="K28" i="13"/>
  <c r="K14" i="14"/>
  <c r="K23" i="29"/>
  <c r="K104" i="29"/>
  <c r="K13" i="33"/>
  <c r="K36" i="33"/>
  <c r="K64" i="33"/>
  <c r="K90" i="33"/>
  <c r="K12" i="38"/>
  <c r="K9" i="42"/>
  <c r="K20" i="18"/>
  <c r="K40" i="18"/>
  <c r="K6" i="19"/>
  <c r="K25" i="19"/>
  <c r="K10" i="21"/>
  <c r="K18" i="22"/>
  <c r="H6" i="24"/>
  <c r="K23" i="24"/>
  <c r="K5" i="29"/>
  <c r="K30" i="29"/>
  <c r="K37" i="29"/>
  <c r="K88" i="29"/>
  <c r="K4" i="30"/>
  <c r="K16" i="30"/>
  <c r="K23" i="30"/>
  <c r="K19" i="31"/>
  <c r="K29" i="33"/>
  <c r="K55" i="33"/>
  <c r="K82" i="33"/>
  <c r="K25" i="36"/>
  <c r="K25" i="39"/>
  <c r="K49" i="39"/>
  <c r="K73" i="39"/>
  <c r="K4" i="40"/>
  <c r="K35" i="43"/>
  <c r="K57" i="43"/>
  <c r="K26" i="44"/>
  <c r="K33" i="46"/>
  <c r="K42" i="46"/>
  <c r="K28" i="47"/>
  <c r="K5" i="48"/>
  <c r="K21" i="48"/>
  <c r="I162" i="2"/>
  <c r="K7" i="6"/>
  <c r="K65" i="49"/>
  <c r="K132" i="49"/>
  <c r="K3" i="10"/>
  <c r="K8" i="18"/>
  <c r="K33" i="18"/>
  <c r="K28" i="21"/>
  <c r="K11" i="22"/>
  <c r="K7" i="23"/>
  <c r="K30" i="25"/>
  <c r="H6" i="29"/>
  <c r="H5" i="30"/>
  <c r="K7" i="32"/>
  <c r="K10" i="40"/>
  <c r="K20" i="43"/>
  <c r="K43" i="43"/>
  <c r="K9" i="47"/>
  <c r="K13" i="6"/>
  <c r="K51" i="5"/>
  <c r="K25" i="8"/>
  <c r="K4" i="10"/>
  <c r="K22" i="10"/>
  <c r="K6" i="11"/>
  <c r="H3" i="13"/>
  <c r="H5" i="14"/>
  <c r="K15" i="14"/>
  <c r="K12" i="15"/>
  <c r="K18" i="16"/>
  <c r="K21" i="18"/>
  <c r="K7" i="19"/>
  <c r="K17" i="20"/>
  <c r="K5" i="22"/>
  <c r="K13" i="23"/>
  <c r="K26" i="26"/>
  <c r="K41" i="26"/>
  <c r="K82" i="29"/>
  <c r="K98" i="29"/>
  <c r="K114" i="29"/>
  <c r="K24" i="30"/>
  <c r="K20" i="31"/>
  <c r="K14" i="33"/>
  <c r="K30" i="33"/>
  <c r="K83" i="33"/>
  <c r="K23" i="38"/>
  <c r="K5" i="39"/>
  <c r="K26" i="39"/>
  <c r="K50" i="39"/>
  <c r="K74" i="39"/>
  <c r="K101" i="39"/>
  <c r="K16" i="40"/>
  <c r="K17" i="42"/>
  <c r="K10" i="43"/>
  <c r="K36" i="43"/>
  <c r="K58" i="43"/>
  <c r="K27" i="44"/>
  <c r="K53" i="46"/>
  <c r="K62" i="46"/>
  <c r="K52" i="49"/>
  <c r="K116" i="49"/>
  <c r="K15" i="25"/>
  <c r="K6" i="28"/>
  <c r="K75" i="29"/>
  <c r="K24" i="38"/>
  <c r="K11" i="40"/>
  <c r="K5" i="42"/>
  <c r="K21" i="43"/>
  <c r="K44" i="43"/>
  <c r="K25" i="46"/>
  <c r="K10" i="47"/>
  <c r="K18" i="47"/>
  <c r="K7" i="48"/>
  <c r="K23" i="48"/>
  <c r="K21" i="49"/>
  <c r="K60" i="49"/>
  <c r="K78" i="49"/>
  <c r="K125" i="49"/>
  <c r="K149" i="49"/>
  <c r="K9" i="18"/>
  <c r="K34" i="18"/>
  <c r="K43" i="18"/>
  <c r="K25" i="24"/>
  <c r="H6" i="26"/>
  <c r="K49" i="26"/>
  <c r="K12" i="29"/>
  <c r="K39" i="29"/>
  <c r="K83" i="29"/>
  <c r="K90" i="29"/>
  <c r="K8" i="32"/>
  <c r="K14" i="32"/>
  <c r="K27" i="32"/>
  <c r="K74" i="46"/>
  <c r="K85" i="46"/>
  <c r="J14" i="3"/>
  <c r="K14" i="6"/>
  <c r="K20" i="6"/>
  <c r="K5" i="10"/>
  <c r="K11" i="12"/>
  <c r="K19" i="12"/>
  <c r="K16" i="14"/>
  <c r="K7" i="16"/>
  <c r="K13" i="20"/>
  <c r="K5" i="21"/>
  <c r="K6" i="22"/>
  <c r="K14" i="23"/>
  <c r="K22" i="23"/>
  <c r="K32" i="29"/>
  <c r="K132" i="29"/>
  <c r="K8" i="33"/>
  <c r="K15" i="33"/>
  <c r="K23" i="33"/>
  <c r="K49" i="33"/>
  <c r="K75" i="33"/>
  <c r="K19" i="39"/>
  <c r="K44" i="39"/>
  <c r="K68" i="39"/>
  <c r="K93" i="39"/>
  <c r="K11" i="42"/>
  <c r="K29" i="43"/>
  <c r="K52" i="43"/>
  <c r="K19" i="47"/>
  <c r="K15" i="48"/>
  <c r="K3" i="49"/>
  <c r="K28" i="49"/>
  <c r="K47" i="49"/>
  <c r="K86" i="49"/>
  <c r="K110" i="49"/>
  <c r="K157" i="49"/>
  <c r="K10" i="41"/>
  <c r="K6" i="42"/>
  <c r="H3" i="45"/>
  <c r="E63" i="2" s="1"/>
  <c r="H6" i="45"/>
  <c r="H5" i="45"/>
  <c r="H4" i="45"/>
  <c r="K8" i="45"/>
  <c r="K45" i="46"/>
  <c r="K11" i="47"/>
  <c r="K8" i="48"/>
  <c r="K15" i="6"/>
  <c r="H6" i="10"/>
  <c r="K12" i="10"/>
  <c r="K3" i="12"/>
  <c r="K2" i="12" s="1"/>
  <c r="K12" i="12"/>
  <c r="K47" i="12"/>
  <c r="K6" i="13"/>
  <c r="K23" i="13"/>
  <c r="K6" i="14"/>
  <c r="K21" i="21"/>
  <c r="K9" i="23"/>
  <c r="K18" i="24"/>
  <c r="K21" i="26"/>
  <c r="K7" i="30"/>
  <c r="K21" i="32"/>
  <c r="K60" i="33"/>
  <c r="K85" i="33"/>
  <c r="K3" i="36"/>
  <c r="K2" i="36" s="1"/>
  <c r="K12" i="40"/>
  <c r="K3" i="41"/>
  <c r="K19" i="42"/>
  <c r="K38" i="43"/>
  <c r="K21" i="44"/>
  <c r="K23" i="45"/>
  <c r="K20" i="47"/>
  <c r="K21" i="13"/>
  <c r="K19" i="20"/>
  <c r="K22" i="21"/>
  <c r="K3" i="23"/>
  <c r="K23" i="23"/>
  <c r="K35" i="24"/>
  <c r="K26" i="25"/>
  <c r="K37" i="26"/>
  <c r="K26" i="28"/>
  <c r="H3" i="29"/>
  <c r="K13" i="29"/>
  <c r="K33" i="29"/>
  <c r="K70" i="29"/>
  <c r="K77" i="29"/>
  <c r="K101" i="29"/>
  <c r="K19" i="30"/>
  <c r="H4" i="32"/>
  <c r="H3" i="33"/>
  <c r="K10" i="33"/>
  <c r="K40" i="33"/>
  <c r="K95" i="33"/>
  <c r="K4" i="36"/>
  <c r="K19" i="36"/>
  <c r="H3" i="37"/>
  <c r="K7" i="39"/>
  <c r="K37" i="39"/>
  <c r="K61" i="39"/>
  <c r="K85" i="39"/>
  <c r="K7" i="40"/>
  <c r="K12" i="42"/>
  <c r="K7" i="43"/>
  <c r="K23" i="43"/>
  <c r="K46" i="43"/>
  <c r="K15" i="44"/>
  <c r="K11" i="46"/>
  <c r="K28" i="46"/>
  <c r="K65" i="46"/>
  <c r="K12" i="47"/>
  <c r="K21" i="47"/>
  <c r="K9" i="48"/>
  <c r="K42" i="49"/>
  <c r="K102" i="49"/>
  <c r="K30" i="18"/>
  <c r="K37" i="18"/>
  <c r="H4" i="37"/>
  <c r="K18" i="40"/>
  <c r="K5" i="41"/>
  <c r="K11" i="41"/>
  <c r="K39" i="43"/>
  <c r="K61" i="43"/>
  <c r="K24" i="45"/>
  <c r="K47" i="46"/>
  <c r="H3" i="15"/>
  <c r="E48" i="2" s="1"/>
  <c r="K18" i="12"/>
  <c r="K12" i="13"/>
  <c r="K5" i="18"/>
  <c r="I124" i="2"/>
  <c r="I154" i="2"/>
  <c r="K44" i="5"/>
  <c r="K13" i="10"/>
  <c r="K33" i="10"/>
  <c r="K7" i="14"/>
  <c r="K9" i="15"/>
  <c r="K11" i="18"/>
  <c r="K28" i="20"/>
  <c r="K24" i="23"/>
  <c r="K9" i="28"/>
  <c r="K38" i="28"/>
  <c r="K64" i="29"/>
  <c r="K85" i="29"/>
  <c r="K8" i="30"/>
  <c r="H5" i="32"/>
  <c r="K26" i="33"/>
  <c r="K51" i="33"/>
  <c r="K77" i="33"/>
  <c r="K12" i="36"/>
  <c r="K4" i="37"/>
  <c r="K2" i="37" s="1"/>
  <c r="K8" i="38"/>
  <c r="K17" i="38"/>
  <c r="K14" i="39"/>
  <c r="K21" i="39"/>
  <c r="K46" i="39"/>
  <c r="K70" i="39"/>
  <c r="K96" i="39"/>
  <c r="K13" i="40"/>
  <c r="K32" i="43"/>
  <c r="K54" i="43"/>
  <c r="K23" i="47"/>
  <c r="K27" i="48"/>
  <c r="K6" i="49"/>
  <c r="K49" i="49"/>
  <c r="K68" i="49"/>
  <c r="K112" i="49"/>
  <c r="K136" i="49"/>
  <c r="K175" i="49"/>
  <c r="F5" i="3"/>
  <c r="D14" i="2"/>
  <c r="K14" i="2" s="1"/>
  <c r="H4" i="15"/>
  <c r="K15" i="13"/>
  <c r="J12" i="3"/>
  <c r="K20" i="19"/>
  <c r="H4" i="23"/>
  <c r="H6" i="47"/>
  <c r="K24" i="6"/>
  <c r="K25" i="21"/>
  <c r="K4" i="23"/>
  <c r="K4" i="24"/>
  <c r="K10" i="24"/>
  <c r="K20" i="24"/>
  <c r="K36" i="24"/>
  <c r="K27" i="25"/>
  <c r="K49" i="28"/>
  <c r="K49" i="29"/>
  <c r="K11" i="32"/>
  <c r="H4" i="33"/>
  <c r="K34" i="33"/>
  <c r="K62" i="33"/>
  <c r="K88" i="33"/>
  <c r="K13" i="36"/>
  <c r="K31" i="39"/>
  <c r="K55" i="39"/>
  <c r="K78" i="39"/>
  <c r="K8" i="40"/>
  <c r="K6" i="41"/>
  <c r="K62" i="43"/>
  <c r="H3" i="44"/>
  <c r="K16" i="44"/>
  <c r="K23" i="44"/>
  <c r="K18" i="45"/>
  <c r="K25" i="45"/>
  <c r="H6" i="46"/>
  <c r="K30" i="46"/>
  <c r="K67" i="46"/>
  <c r="K6" i="47"/>
  <c r="K24" i="47"/>
  <c r="K18" i="49"/>
  <c r="K37" i="49"/>
  <c r="K75" i="49"/>
  <c r="K96" i="49"/>
  <c r="K145" i="49"/>
  <c r="K6" i="18"/>
  <c r="I160" i="2"/>
  <c r="K5" i="6"/>
  <c r="K11" i="6"/>
  <c r="I88" i="2"/>
  <c r="K68" i="5"/>
  <c r="K8" i="10"/>
  <c r="K14" i="10"/>
  <c r="K8" i="14"/>
  <c r="K3" i="15"/>
  <c r="K10" i="15"/>
  <c r="K24" i="16"/>
  <c r="K25" i="18"/>
  <c r="K27" i="22"/>
  <c r="K11" i="23"/>
  <c r="K28" i="24"/>
  <c r="K28" i="25"/>
  <c r="K45" i="26"/>
  <c r="K51" i="28"/>
  <c r="K9" i="29"/>
  <c r="K22" i="29"/>
  <c r="K50" i="29"/>
  <c r="K86" i="29"/>
  <c r="K127" i="29"/>
  <c r="H6" i="32"/>
  <c r="K19" i="33"/>
  <c r="K70" i="33"/>
  <c r="K15" i="39"/>
  <c r="K39" i="39"/>
  <c r="K63" i="39"/>
  <c r="K87" i="39"/>
  <c r="K12" i="41"/>
  <c r="K18" i="43"/>
  <c r="K25" i="43"/>
  <c r="K48" i="43"/>
  <c r="K20" i="46"/>
  <c r="K69" i="46"/>
  <c r="K14" i="47"/>
  <c r="K3" i="48"/>
  <c r="K2" i="48" s="1"/>
  <c r="K11" i="48"/>
  <c r="K29" i="48"/>
  <c r="K7" i="49"/>
  <c r="K44" i="49"/>
  <c r="K63" i="49"/>
  <c r="K106" i="49"/>
  <c r="K129" i="49"/>
  <c r="K170" i="49"/>
  <c r="I161" i="2"/>
  <c r="K3" i="45"/>
  <c r="K10" i="45"/>
  <c r="K5" i="45"/>
  <c r="K11" i="45"/>
  <c r="F27" i="3"/>
  <c r="D31" i="2"/>
  <c r="K6" i="45"/>
  <c r="K7" i="45"/>
  <c r="K9" i="45"/>
  <c r="I94" i="2"/>
  <c r="J24" i="3"/>
  <c r="H60" i="2"/>
  <c r="K7" i="42"/>
  <c r="F60" i="2"/>
  <c r="K14" i="42"/>
  <c r="E60" i="2"/>
  <c r="K3" i="42"/>
  <c r="D28" i="2"/>
  <c r="E28" i="2"/>
  <c r="F22" i="3"/>
  <c r="I151" i="2"/>
  <c r="I149" i="2"/>
  <c r="C27" i="2"/>
  <c r="K21" i="2"/>
  <c r="C30" i="2"/>
  <c r="K23" i="2"/>
  <c r="I158" i="2"/>
  <c r="I91" i="2"/>
  <c r="J15" i="2"/>
  <c r="I95" i="2"/>
  <c r="J27" i="2"/>
  <c r="I93" i="2"/>
  <c r="C31" i="2"/>
  <c r="I92" i="2"/>
  <c r="I123" i="2"/>
  <c r="C20" i="2"/>
  <c r="I150" i="2"/>
  <c r="I157" i="2"/>
  <c r="I85" i="2"/>
  <c r="I156" i="2"/>
  <c r="C32" i="2"/>
  <c r="I121" i="2"/>
  <c r="K11" i="39"/>
  <c r="K34" i="39"/>
  <c r="K58" i="39"/>
  <c r="K81" i="39"/>
  <c r="K17" i="39"/>
  <c r="K35" i="39"/>
  <c r="K59" i="39"/>
  <c r="K83" i="39"/>
  <c r="K12" i="39"/>
  <c r="K27" i="39"/>
  <c r="K51" i="39"/>
  <c r="K102" i="39"/>
  <c r="K28" i="39"/>
  <c r="K53" i="39"/>
  <c r="K76" i="39"/>
  <c r="K38" i="39"/>
  <c r="K62" i="39"/>
  <c r="K86" i="39"/>
  <c r="K9" i="39"/>
  <c r="K10" i="39"/>
  <c r="K24" i="39"/>
  <c r="K48" i="39"/>
  <c r="K40" i="39"/>
  <c r="K64" i="39"/>
  <c r="K89" i="39"/>
  <c r="K33" i="39"/>
  <c r="K57" i="39"/>
  <c r="K80" i="39"/>
  <c r="I90" i="2"/>
  <c r="D24" i="2"/>
  <c r="K27" i="2" s="1"/>
  <c r="K6" i="31"/>
  <c r="K10" i="31"/>
  <c r="K26" i="31"/>
  <c r="K13" i="31"/>
  <c r="I87" i="2"/>
  <c r="K9" i="31"/>
  <c r="K15" i="31"/>
  <c r="K25" i="31"/>
  <c r="I155" i="2"/>
  <c r="I89" i="2"/>
  <c r="I120" i="2"/>
  <c r="C26" i="2"/>
  <c r="I118" i="2"/>
  <c r="I153" i="2"/>
  <c r="I19" i="3"/>
  <c r="G56" i="2"/>
  <c r="K23" i="31"/>
  <c r="K24" i="31"/>
  <c r="D56" i="2"/>
  <c r="K44" i="28"/>
  <c r="K25" i="28"/>
  <c r="K17" i="28"/>
  <c r="K47" i="28"/>
  <c r="K19" i="28"/>
  <c r="K36" i="28"/>
  <c r="H5" i="28"/>
  <c r="G55" i="2" s="1"/>
  <c r="K32" i="28"/>
  <c r="K42" i="28"/>
  <c r="H55" i="2"/>
  <c r="K5" i="28"/>
  <c r="K12" i="28"/>
  <c r="K43" i="28"/>
  <c r="K22" i="28"/>
  <c r="K11" i="28"/>
  <c r="K46" i="28"/>
  <c r="F18" i="3"/>
  <c r="K20" i="28"/>
  <c r="K40" i="28"/>
  <c r="K48" i="28"/>
  <c r="K7" i="28"/>
  <c r="K14" i="28"/>
  <c r="K23" i="28"/>
  <c r="K24" i="28"/>
  <c r="K53" i="28"/>
  <c r="K16" i="28"/>
  <c r="K27" i="28"/>
  <c r="C23" i="2"/>
  <c r="I117" i="2"/>
  <c r="K3" i="28"/>
  <c r="K8" i="28"/>
  <c r="K31" i="28"/>
  <c r="K52" i="28"/>
  <c r="K4" i="28"/>
  <c r="D23" i="2"/>
  <c r="K24" i="2" s="1"/>
  <c r="K10" i="28"/>
  <c r="K21" i="28"/>
  <c r="K35" i="28"/>
  <c r="I152" i="2"/>
  <c r="I115" i="2"/>
  <c r="E21" i="2"/>
  <c r="E53" i="2"/>
  <c r="G15" i="3"/>
  <c r="H4" i="25"/>
  <c r="K9" i="25"/>
  <c r="K5" i="25"/>
  <c r="H6" i="25"/>
  <c r="D53" i="2"/>
  <c r="K6" i="25"/>
  <c r="K12" i="25"/>
  <c r="K13" i="25"/>
  <c r="K4" i="25"/>
  <c r="K8" i="25"/>
  <c r="K21" i="25"/>
  <c r="K10" i="25"/>
  <c r="K29" i="25"/>
  <c r="I84" i="2"/>
  <c r="J20" i="2"/>
  <c r="I83" i="2"/>
  <c r="K21" i="23"/>
  <c r="K26" i="23"/>
  <c r="H3" i="23"/>
  <c r="I148" i="2"/>
  <c r="K10" i="19"/>
  <c r="D51" i="2"/>
  <c r="K12" i="19"/>
  <c r="K5" i="19"/>
  <c r="F13" i="3"/>
  <c r="K9" i="19"/>
  <c r="K26" i="19"/>
  <c r="K27" i="19"/>
  <c r="C19" i="2"/>
  <c r="I147" i="2"/>
  <c r="I113" i="2"/>
  <c r="C17" i="2"/>
  <c r="G10" i="3"/>
  <c r="E49" i="2"/>
  <c r="E17" i="2"/>
  <c r="K23" i="16"/>
  <c r="H4" i="16"/>
  <c r="H5" i="16"/>
  <c r="K10" i="16"/>
  <c r="K5" i="16"/>
  <c r="K17" i="16"/>
  <c r="H6" i="16"/>
  <c r="K6" i="16"/>
  <c r="K13" i="16"/>
  <c r="K20" i="16"/>
  <c r="K14" i="16"/>
  <c r="J17" i="2"/>
  <c r="I144" i="2"/>
  <c r="I111" i="2"/>
  <c r="I80" i="2"/>
  <c r="K15" i="2"/>
  <c r="I79" i="2"/>
  <c r="H5" i="15"/>
  <c r="H6" i="15"/>
  <c r="K8" i="15"/>
  <c r="C15" i="2"/>
  <c r="F13" i="2"/>
  <c r="F7" i="2" s="1"/>
  <c r="K8" i="11"/>
  <c r="K3" i="11"/>
  <c r="I142" i="2"/>
  <c r="K32" i="5"/>
  <c r="K3" i="5"/>
  <c r="K9" i="5"/>
  <c r="K35" i="5"/>
  <c r="K25" i="5"/>
  <c r="K47" i="5"/>
  <c r="K5" i="5"/>
  <c r="K49" i="5"/>
  <c r="E2" i="3"/>
  <c r="K39" i="5"/>
  <c r="K6" i="5"/>
  <c r="K19" i="5"/>
  <c r="K60" i="5"/>
  <c r="K66" i="5"/>
  <c r="K40" i="5"/>
  <c r="K8" i="5"/>
  <c r="K42" i="5"/>
  <c r="K23" i="5"/>
  <c r="K33" i="5"/>
  <c r="K41" i="5"/>
  <c r="K4" i="5"/>
  <c r="K54" i="5"/>
  <c r="I13" i="2"/>
  <c r="I7" i="2" s="1"/>
  <c r="K38" i="5"/>
  <c r="K64" i="5"/>
  <c r="E107" i="2"/>
  <c r="K37" i="5"/>
  <c r="K14" i="5"/>
  <c r="K20" i="5"/>
  <c r="K29" i="5"/>
  <c r="J14" i="2"/>
  <c r="H3" i="5"/>
  <c r="E46" i="2" s="1"/>
  <c r="C14" i="2"/>
  <c r="H4" i="5"/>
  <c r="K22" i="5"/>
  <c r="H5" i="5"/>
  <c r="K63" i="5"/>
  <c r="H6" i="5"/>
  <c r="K15" i="5"/>
  <c r="K11" i="5"/>
  <c r="D107" i="2"/>
  <c r="K12" i="5"/>
  <c r="K24" i="5"/>
  <c r="H107" i="2"/>
  <c r="I108" i="2"/>
  <c r="G76" i="2"/>
  <c r="J21" i="2"/>
  <c r="J23" i="2"/>
  <c r="C24" i="2"/>
  <c r="J19" i="2"/>
  <c r="I77" i="2"/>
  <c r="I122" i="2"/>
  <c r="G13" i="2"/>
  <c r="G7" i="2" s="1"/>
  <c r="K11" i="15"/>
  <c r="C25" i="2"/>
  <c r="H11" i="3"/>
  <c r="J16" i="2"/>
  <c r="H13" i="2"/>
  <c r="H7" i="2" s="1"/>
  <c r="I82" i="2"/>
  <c r="I125" i="2"/>
  <c r="J30" i="2"/>
  <c r="K52" i="5"/>
  <c r="K59" i="5"/>
  <c r="J24" i="2"/>
  <c r="H138" i="2"/>
  <c r="I116" i="2"/>
  <c r="G6" i="3"/>
  <c r="E76" i="2"/>
  <c r="I114" i="2"/>
  <c r="K17" i="5"/>
  <c r="K21" i="6"/>
  <c r="H5" i="6"/>
  <c r="H6" i="6"/>
  <c r="H4" i="6"/>
  <c r="H76" i="2"/>
  <c r="H6" i="12"/>
  <c r="H4" i="12"/>
  <c r="H3" i="12"/>
  <c r="H5" i="12"/>
  <c r="K22" i="2"/>
  <c r="K10" i="8"/>
  <c r="J25" i="2"/>
  <c r="K30" i="2"/>
  <c r="C28" i="2"/>
  <c r="J29" i="2"/>
  <c r="K29" i="2"/>
  <c r="D76" i="2"/>
  <c r="I78" i="2"/>
  <c r="I145" i="2"/>
  <c r="K33" i="12"/>
  <c r="K21" i="10"/>
  <c r="C21" i="2"/>
  <c r="I109" i="2"/>
  <c r="K31" i="5"/>
  <c r="K67" i="5"/>
  <c r="K8" i="6"/>
  <c r="K18" i="18"/>
  <c r="K24" i="10"/>
  <c r="K14" i="13"/>
  <c r="K13" i="18"/>
  <c r="H5" i="10"/>
  <c r="K6" i="12"/>
  <c r="I86" i="2"/>
  <c r="H6" i="3"/>
  <c r="K19" i="8"/>
  <c r="H4" i="24"/>
  <c r="K39" i="28"/>
  <c r="K10" i="29"/>
  <c r="K67" i="29"/>
  <c r="K123" i="29"/>
  <c r="K18" i="30"/>
  <c r="H6" i="33"/>
  <c r="K32" i="33"/>
  <c r="K56" i="33"/>
  <c r="K81" i="33"/>
  <c r="H4" i="36"/>
  <c r="H3" i="36"/>
  <c r="H6" i="36"/>
  <c r="H3" i="19"/>
  <c r="K16" i="32"/>
  <c r="K39" i="33"/>
  <c r="K65" i="33"/>
  <c r="K89" i="33"/>
  <c r="K32" i="39"/>
  <c r="K54" i="39"/>
  <c r="K75" i="39"/>
  <c r="K100" i="39"/>
  <c r="K24" i="43"/>
  <c r="K45" i="43"/>
  <c r="K65" i="43"/>
  <c r="H4" i="21"/>
  <c r="K28" i="28"/>
  <c r="K6" i="29"/>
  <c r="K61" i="29"/>
  <c r="K118" i="29"/>
  <c r="H4" i="30"/>
  <c r="K14" i="30"/>
  <c r="H3" i="38"/>
  <c r="H6" i="38"/>
  <c r="H5" i="38"/>
  <c r="H4" i="38"/>
  <c r="H5" i="21"/>
  <c r="K13" i="22"/>
  <c r="K28" i="23"/>
  <c r="G12" i="3"/>
  <c r="H3" i="28"/>
  <c r="K18" i="28"/>
  <c r="H4" i="19"/>
  <c r="H3" i="22"/>
  <c r="K27" i="33"/>
  <c r="K50" i="33"/>
  <c r="K73" i="33"/>
  <c r="H4" i="22"/>
  <c r="K19" i="43"/>
  <c r="K40" i="43"/>
  <c r="K60" i="43"/>
  <c r="H5" i="20"/>
  <c r="H6" i="21"/>
  <c r="K69" i="29"/>
  <c r="K126" i="29"/>
  <c r="H6" i="30"/>
  <c r="K10" i="23"/>
  <c r="K19" i="24"/>
  <c r="K51" i="26"/>
  <c r="K45" i="29"/>
  <c r="K100" i="29"/>
  <c r="K15" i="43"/>
  <c r="H5" i="19"/>
  <c r="H4" i="28"/>
  <c r="K6" i="24"/>
  <c r="K14" i="25"/>
  <c r="K40" i="26"/>
  <c r="K40" i="29"/>
  <c r="K94" i="29"/>
  <c r="K21" i="33"/>
  <c r="K44" i="33"/>
  <c r="K68" i="33"/>
  <c r="K93" i="33"/>
  <c r="K11" i="43"/>
  <c r="K35" i="26"/>
  <c r="K8" i="29"/>
  <c r="H6" i="20"/>
  <c r="H4" i="31"/>
  <c r="F56" i="2" s="1"/>
  <c r="H6" i="31"/>
  <c r="K27" i="24"/>
  <c r="K23" i="26"/>
  <c r="K4" i="29"/>
  <c r="K53" i="29"/>
  <c r="K107" i="29"/>
  <c r="K12" i="30"/>
  <c r="K20" i="36"/>
  <c r="K17" i="22"/>
  <c r="K22" i="24"/>
  <c r="K47" i="29"/>
  <c r="K102" i="29"/>
  <c r="K9" i="32"/>
  <c r="K37" i="33"/>
  <c r="K63" i="33"/>
  <c r="K87" i="33"/>
  <c r="K12" i="23"/>
  <c r="K42" i="29"/>
  <c r="K96" i="29"/>
  <c r="K20" i="29"/>
  <c r="K72" i="29"/>
  <c r="K130" i="29"/>
  <c r="H3" i="31"/>
  <c r="K8" i="36"/>
  <c r="K5" i="37"/>
  <c r="H3" i="39"/>
  <c r="H4" i="41"/>
  <c r="H5" i="46"/>
  <c r="H6" i="48"/>
  <c r="H5" i="44"/>
  <c r="H5" i="41"/>
  <c r="H4" i="39"/>
  <c r="H6" i="41"/>
  <c r="H3" i="49"/>
  <c r="H5" i="39"/>
  <c r="H3" i="47"/>
  <c r="H4" i="49"/>
  <c r="H6" i="40"/>
  <c r="H5" i="49"/>
  <c r="H4" i="47"/>
  <c r="H3" i="46"/>
  <c r="K18" i="2" l="1"/>
  <c r="I110" i="2"/>
  <c r="J127" i="2" s="1"/>
  <c r="F54" i="2"/>
  <c r="F107" i="2"/>
  <c r="I107" i="2" s="1"/>
  <c r="H25" i="3"/>
  <c r="F61" i="2"/>
  <c r="J25" i="3"/>
  <c r="G61" i="2"/>
  <c r="H61" i="2"/>
  <c r="E61" i="2"/>
  <c r="G25" i="3"/>
  <c r="E29" i="2"/>
  <c r="C58" i="2"/>
  <c r="C120" i="2"/>
  <c r="C89" i="2"/>
  <c r="C155" i="2"/>
  <c r="C112" i="2"/>
  <c r="C50" i="2"/>
  <c r="E18" i="2"/>
  <c r="E50" i="2"/>
  <c r="I50" i="2" s="1"/>
  <c r="D45" i="2"/>
  <c r="J9" i="3"/>
  <c r="H48" i="2"/>
  <c r="I9" i="3"/>
  <c r="G48" i="2"/>
  <c r="H9" i="3"/>
  <c r="F48" i="2"/>
  <c r="H8" i="3"/>
  <c r="F47" i="2"/>
  <c r="J8" i="3"/>
  <c r="H47" i="2"/>
  <c r="I8" i="3"/>
  <c r="G47" i="2"/>
  <c r="J5" i="3"/>
  <c r="H46" i="2"/>
  <c r="I5" i="3"/>
  <c r="G46" i="2"/>
  <c r="H5" i="3"/>
  <c r="F46" i="2"/>
  <c r="F2" i="3"/>
  <c r="J163" i="2"/>
  <c r="E31" i="2"/>
  <c r="H26" i="3"/>
  <c r="F62" i="2"/>
  <c r="K2" i="20"/>
  <c r="E14" i="2"/>
  <c r="G5" i="3"/>
  <c r="K2" i="45"/>
  <c r="C161" i="2" s="1"/>
  <c r="K2" i="46"/>
  <c r="E16" i="2"/>
  <c r="G9" i="3"/>
  <c r="I16" i="3"/>
  <c r="G54" i="2"/>
  <c r="K2" i="49"/>
  <c r="C64" i="2" s="1"/>
  <c r="K2" i="33"/>
  <c r="C119" i="2" s="1"/>
  <c r="K2" i="44"/>
  <c r="C93" i="2" s="1"/>
  <c r="K2" i="16"/>
  <c r="C144" i="2" s="1"/>
  <c r="I24" i="3"/>
  <c r="G60" i="2"/>
  <c r="I60" i="2" s="1"/>
  <c r="K2" i="42"/>
  <c r="C158" i="2" s="1"/>
  <c r="K2" i="41"/>
  <c r="K2" i="40"/>
  <c r="C156" i="2"/>
  <c r="G17" i="3"/>
  <c r="I15" i="3"/>
  <c r="K2" i="32"/>
  <c r="H17" i="3"/>
  <c r="K2" i="31"/>
  <c r="C56" i="2" s="1"/>
  <c r="K2" i="11"/>
  <c r="C109" i="2" s="1"/>
  <c r="K2" i="14"/>
  <c r="C140" i="2"/>
  <c r="K2" i="39"/>
  <c r="C59" i="2" s="1"/>
  <c r="F57" i="2"/>
  <c r="H20" i="3"/>
  <c r="G63" i="2"/>
  <c r="I27" i="3"/>
  <c r="K2" i="30"/>
  <c r="H63" i="2"/>
  <c r="J27" i="3"/>
  <c r="K2" i="6"/>
  <c r="E25" i="2"/>
  <c r="E57" i="2"/>
  <c r="G20" i="3"/>
  <c r="K2" i="18"/>
  <c r="K2" i="24"/>
  <c r="I14" i="3"/>
  <c r="G27" i="3"/>
  <c r="H22" i="3"/>
  <c r="K2" i="26"/>
  <c r="C116" i="2" s="1"/>
  <c r="I22" i="3"/>
  <c r="K2" i="10"/>
  <c r="K2" i="15"/>
  <c r="C79" i="2" s="1"/>
  <c r="K2" i="23"/>
  <c r="C148" i="2" s="1"/>
  <c r="I18" i="3"/>
  <c r="G26" i="3"/>
  <c r="E62" i="2"/>
  <c r="E30" i="2"/>
  <c r="J16" i="3"/>
  <c r="H54" i="2"/>
  <c r="H14" i="3"/>
  <c r="F52" i="2"/>
  <c r="K2" i="19"/>
  <c r="K2" i="29"/>
  <c r="K2" i="43"/>
  <c r="C92" i="2" s="1"/>
  <c r="K26" i="2"/>
  <c r="K2" i="28"/>
  <c r="C86" i="2" s="1"/>
  <c r="K25" i="2"/>
  <c r="H53" i="2"/>
  <c r="J15" i="3"/>
  <c r="K2" i="25"/>
  <c r="C53" i="2" s="1"/>
  <c r="F53" i="2"/>
  <c r="H15" i="3"/>
  <c r="E52" i="2"/>
  <c r="E20" i="2"/>
  <c r="G14" i="3"/>
  <c r="J10" i="3"/>
  <c r="H49" i="2"/>
  <c r="H10" i="3"/>
  <c r="F49" i="2"/>
  <c r="I10" i="3"/>
  <c r="G49" i="2"/>
  <c r="K19" i="2"/>
  <c r="K17" i="2"/>
  <c r="C7" i="2"/>
  <c r="D13" i="2"/>
  <c r="D7" i="2" s="1"/>
  <c r="L33" i="2"/>
  <c r="K2" i="5"/>
  <c r="C77" i="2" s="1"/>
  <c r="I76" i="2"/>
  <c r="C13" i="2"/>
  <c r="E24" i="2"/>
  <c r="E56" i="2"/>
  <c r="G19" i="3"/>
  <c r="I11" i="3"/>
  <c r="K2" i="8"/>
  <c r="C145" i="2"/>
  <c r="F59" i="2"/>
  <c r="H23" i="3"/>
  <c r="H13" i="3"/>
  <c r="F51" i="2"/>
  <c r="E32" i="2"/>
  <c r="G28" i="3"/>
  <c r="E64" i="2"/>
  <c r="I17" i="3"/>
  <c r="E19" i="2"/>
  <c r="G13" i="3"/>
  <c r="E51" i="2"/>
  <c r="G62" i="2"/>
  <c r="I26" i="3"/>
  <c r="H57" i="2"/>
  <c r="J20" i="3"/>
  <c r="E23" i="2"/>
  <c r="G18" i="3"/>
  <c r="E55" i="2"/>
  <c r="J22" i="3"/>
  <c r="I23" i="3"/>
  <c r="G59" i="2"/>
  <c r="H28" i="3"/>
  <c r="F64" i="2"/>
  <c r="H18" i="3"/>
  <c r="F55" i="2"/>
  <c r="I13" i="3"/>
  <c r="G51" i="2"/>
  <c r="F63" i="2"/>
  <c r="H27" i="3"/>
  <c r="E27" i="2"/>
  <c r="E59" i="2"/>
  <c r="G23" i="3"/>
  <c r="H56" i="2"/>
  <c r="J19" i="3"/>
  <c r="J13" i="2"/>
  <c r="G11" i="3"/>
  <c r="I58" i="2"/>
  <c r="J11" i="3"/>
  <c r="J96" i="2"/>
  <c r="I28" i="3"/>
  <c r="G64" i="2"/>
  <c r="I48" i="2" l="1"/>
  <c r="C57" i="2"/>
  <c r="C81" i="2"/>
  <c r="C146" i="2"/>
  <c r="I47" i="2"/>
  <c r="I54" i="2"/>
  <c r="C88" i="2"/>
  <c r="C91" i="2"/>
  <c r="C125" i="2"/>
  <c r="J2" i="3"/>
  <c r="C49" i="2"/>
  <c r="C80" i="2"/>
  <c r="C126" i="2"/>
  <c r="C111" i="2"/>
  <c r="C162" i="2"/>
  <c r="C151" i="2"/>
  <c r="C154" i="2"/>
  <c r="C84" i="2"/>
  <c r="C95" i="2"/>
  <c r="C54" i="2"/>
  <c r="C94" i="2"/>
  <c r="C85" i="2"/>
  <c r="C150" i="2"/>
  <c r="C63" i="2"/>
  <c r="I53" i="2"/>
  <c r="C124" i="2"/>
  <c r="G2" i="3"/>
  <c r="C60" i="2"/>
  <c r="C61" i="2"/>
  <c r="C142" i="2"/>
  <c r="C47" i="2"/>
  <c r="C51" i="2"/>
  <c r="C122" i="2"/>
  <c r="C113" i="2"/>
  <c r="C159" i="2"/>
  <c r="C62" i="2"/>
  <c r="C123" i="2"/>
  <c r="C78" i="2"/>
  <c r="C153" i="2"/>
  <c r="C87" i="2"/>
  <c r="C160" i="2"/>
  <c r="C118" i="2"/>
  <c r="C139" i="2"/>
  <c r="C114" i="2"/>
  <c r="C55" i="2"/>
  <c r="C48" i="2"/>
  <c r="I63" i="2"/>
  <c r="C110" i="2"/>
  <c r="C108" i="2"/>
  <c r="C152" i="2"/>
  <c r="C83" i="2"/>
  <c r="C143" i="2"/>
  <c r="I62" i="2"/>
  <c r="C52" i="2"/>
  <c r="C121" i="2"/>
  <c r="C117" i="2"/>
  <c r="I57" i="2"/>
  <c r="C157" i="2"/>
  <c r="C90" i="2"/>
  <c r="C115" i="2"/>
  <c r="C149" i="2"/>
  <c r="I52" i="2"/>
  <c r="E13" i="2"/>
  <c r="E10" i="2" s="1"/>
  <c r="K13" i="2"/>
  <c r="I51" i="2"/>
  <c r="D10" i="2"/>
  <c r="I49" i="2"/>
  <c r="C46" i="2"/>
  <c r="I61" i="2"/>
  <c r="I56" i="2"/>
  <c r="H45" i="2"/>
  <c r="H10" i="2" s="1"/>
  <c r="F45" i="2"/>
  <c r="F10" i="2" s="1"/>
  <c r="I46" i="2"/>
  <c r="I64" i="2"/>
  <c r="I55" i="2"/>
  <c r="H2" i="3"/>
  <c r="E45" i="2"/>
  <c r="I2" i="3"/>
  <c r="G45" i="2"/>
  <c r="G10" i="2" s="1"/>
  <c r="I59" i="2"/>
  <c r="C76" i="2" l="1"/>
  <c r="C107" i="2"/>
  <c r="C45" i="2"/>
  <c r="C10" i="2" s="1"/>
  <c r="D4" i="2" s="1"/>
  <c r="E7" i="2"/>
  <c r="I45" i="2"/>
  <c r="J65" i="2"/>
  <c r="C138" i="2" l="1"/>
  <c r="E138" i="2"/>
  <c r="F138" i="2"/>
  <c r="G138" i="2"/>
  <c r="I138" i="2" l="1"/>
</calcChain>
</file>

<file path=xl/sharedStrings.xml><?xml version="1.0" encoding="utf-8"?>
<sst xmlns="http://schemas.openxmlformats.org/spreadsheetml/2006/main" count="5200" uniqueCount="1719">
  <si>
    <t>Active 911</t>
  </si>
  <si>
    <t>Accurint</t>
  </si>
  <si>
    <t>Alarm Tracking and Billing</t>
  </si>
  <si>
    <t>Arrest (Regional Adult Detention Center)</t>
  </si>
  <si>
    <t>ASAP to PSAP</t>
  </si>
  <si>
    <t>Automatic License Plate Reader</t>
  </si>
  <si>
    <t>Axon (Body Camera System, Interview Room)</t>
  </si>
  <si>
    <t>CarFax</t>
  </si>
  <si>
    <t>Citizen Incident Reporting</t>
  </si>
  <si>
    <t>Crashlogic</t>
  </si>
  <si>
    <t>EMD (Priority One)</t>
  </si>
  <si>
    <t>ePCR (ImageTrend)</t>
  </si>
  <si>
    <t>FRMS Export</t>
  </si>
  <si>
    <t>FRMS Impot</t>
  </si>
  <si>
    <t>Fire Station Alerting (future)</t>
  </si>
  <si>
    <t>LInX</t>
  </si>
  <si>
    <t>LiveScan</t>
  </si>
  <si>
    <t>NDEx</t>
  </si>
  <si>
    <t>NG911</t>
  </si>
  <si>
    <t>NICE</t>
  </si>
  <si>
    <t>Paging</t>
  </si>
  <si>
    <t>Pictometry</t>
  </si>
  <si>
    <t>Prosecutor (Judicial Dialog Systems)</t>
  </si>
  <si>
    <t>Radio Console Encoding/PTT/Emergency Button</t>
  </si>
  <si>
    <t>Radio System GPS Data</t>
  </si>
  <si>
    <t>RapidSOS</t>
  </si>
  <si>
    <t>Rip Run</t>
  </si>
  <si>
    <t>TREDS Crash</t>
  </si>
  <si>
    <t>VCIN</t>
  </si>
  <si>
    <t>Crime Reports.com</t>
  </si>
  <si>
    <t>Judicial Dialog Systems</t>
  </si>
  <si>
    <t>TREDS</t>
  </si>
  <si>
    <t>Active Directory (covered in Infrastructure)</t>
  </si>
  <si>
    <t>Proposal Evaluation Summary</t>
  </si>
  <si>
    <t>Vendor Name:</t>
  </si>
  <si>
    <t>Date:</t>
  </si>
  <si>
    <t>Total Interfaces Specification Score</t>
  </si>
  <si>
    <t>System</t>
  </si>
  <si>
    <t>Category</t>
  </si>
  <si>
    <t>Maximum Score</t>
  </si>
  <si>
    <t>Number of Requirements</t>
  </si>
  <si>
    <t>Not Answered</t>
  </si>
  <si>
    <t>Critical</t>
  </si>
  <si>
    <t>Important</t>
  </si>
  <si>
    <t>Not Needed</t>
  </si>
  <si>
    <t>Informational</t>
  </si>
  <si>
    <t>All</t>
  </si>
  <si>
    <t>ALL CATEGORIES</t>
  </si>
  <si>
    <t>Score</t>
  </si>
  <si>
    <t>Function Available</t>
  </si>
  <si>
    <t>Function Not Available</t>
  </si>
  <si>
    <t>Exception</t>
  </si>
  <si>
    <t>Interfaces</t>
  </si>
  <si>
    <t xml:space="preserve"> </t>
  </si>
  <si>
    <t>Number of Critical</t>
  </si>
  <si>
    <t>Critical - Not Answered</t>
  </si>
  <si>
    <t>Critical - Function Available</t>
  </si>
  <si>
    <t>Critical - Function Not Available</t>
  </si>
  <si>
    <t>Critical - Exception</t>
  </si>
  <si>
    <t>Number of Important</t>
  </si>
  <si>
    <t>Important - Not Answered</t>
  </si>
  <si>
    <t>Important - Function Available</t>
  </si>
  <si>
    <t>Important - Function Not Available</t>
  </si>
  <si>
    <t>Important - Exception</t>
  </si>
  <si>
    <t>Number of Informational</t>
  </si>
  <si>
    <t>Informational - Not Answered</t>
  </si>
  <si>
    <t>Informational - Function Available</t>
  </si>
  <si>
    <t>Informational - Function Not Available</t>
  </si>
  <si>
    <t>Informational - Exception</t>
  </si>
  <si>
    <t>Worksheets</t>
  </si>
  <si>
    <t>Items</t>
  </si>
  <si>
    <t>Total Law Enforcement Master RMS specs</t>
  </si>
  <si>
    <t>Specification Type</t>
  </si>
  <si>
    <t>Weight</t>
  </si>
  <si>
    <t>Availability</t>
  </si>
  <si>
    <t>Specifications</t>
  </si>
  <si>
    <t>Contractor Work Area</t>
  </si>
  <si>
    <t>Def ID</t>
  </si>
  <si>
    <t>Results (HIDDEN)</t>
  </si>
  <si>
    <t>Summary</t>
  </si>
  <si>
    <t>Spec Weight</t>
  </si>
  <si>
    <t>Avail Weight</t>
  </si>
  <si>
    <t>Page setup</t>
  </si>
  <si>
    <t>adjust to</t>
  </si>
  <si>
    <t>left margin</t>
  </si>
  <si>
    <t>top margin</t>
  </si>
  <si>
    <t>bottom margin</t>
  </si>
  <si>
    <t>center horizontal</t>
  </si>
  <si>
    <t>Header</t>
  </si>
  <si>
    <t>CAD [module name]</t>
  </si>
  <si>
    <t>[sheet name]</t>
  </si>
  <si>
    <t>Footer</t>
  </si>
  <si>
    <t>Page x of xx</t>
  </si>
  <si>
    <t>Hide "results" column</t>
  </si>
  <si>
    <t>To edit named ranges, go to formulas&gt;name manager.</t>
  </si>
  <si>
    <t>To remove the groupbox border</t>
  </si>
  <si>
    <t>from the active sheet:</t>
  </si>
  <si>
    <t>key alt-F11</t>
  </si>
  <si>
    <t>key ctl-G</t>
  </si>
  <si>
    <t>type :</t>
  </si>
  <si>
    <t>ActiveSheet.GroupBoxes.Visible = False</t>
  </si>
  <si>
    <t>Select from Drop Down List</t>
  </si>
  <si>
    <t>Spec
ID</t>
  </si>
  <si>
    <t>Importance</t>
  </si>
  <si>
    <t>Rows to be Numbered</t>
  </si>
  <si>
    <t>911 ALI</t>
  </si>
  <si>
    <t>The proposed solution includes pricing for a unidirectional interface to receive Automatic Location identification information from the City's 9-1-1 call handling system and have that data selectively inserted into the CAD Event Entry record.</t>
  </si>
  <si>
    <t>To add a row - 
1 - unprotect sheet
2 - insert new row in middle or add to bottom
3 - copy formula from column A cell above the row being added 
4 - add a 1 to column L</t>
  </si>
  <si>
    <t>The interface accepts ALI data from the initial ring of the 9-1-1 call and lists unanswered 9-1-1 calls as a portion of all call taker's screens and/or as a selectable icon on all tactical maps.</t>
  </si>
  <si>
    <t xml:space="preserve">The drop-down displayed when a user selects an entry in the list of unanswered 9-1-1 calls or the map icon includes phone subscriber and location information from the ALI record. </t>
  </si>
  <si>
    <t>An option is available in the drop down list of unanswered calls for answering the ringing call without leaving the CAD environment.</t>
  </si>
  <si>
    <t>Location (to included latitude, longitude and -- where available -- altitude) information, subscriber and call detail data provided from the ALI interface is displayed to the call taker within the CAD Incident Entry environment upon answering each 9-1-1 call and is illustrated as a selectable icon on all tactical maps.</t>
  </si>
  <si>
    <t>ALI data is presented to the call taker unobtrusively and without disruption to the call entry process.</t>
  </si>
  <si>
    <t>The Interface provides a list of no less than ten (10) of the most recent 9-1-1 calls answered at a workstation and the associated ALI records are accessible by the call taker for informational purposes as well as having the ability to create a new Incident record using the data from the aged ALI record.</t>
  </si>
  <si>
    <t>ALI Data Acceptance</t>
  </si>
  <si>
    <t>All ALI data that aligns to data capture fields in the Incident form is inserted in the form either upon call answer or through the use of a button or other graphical control within the Incident entry form.</t>
  </si>
  <si>
    <t>The system is configurable to only transfer the ALI data manually through a button or other graphical control available to the call taker.</t>
  </si>
  <si>
    <t>The call taker has the option of recording the ALI record as the location of occurrence, location of the calling party, or both.</t>
  </si>
  <si>
    <t>At no time does data received through the interface overwrite any user-entered data that was input by the call taker.</t>
  </si>
  <si>
    <t>The complete ALI record is copied into the Incident record.</t>
  </si>
  <si>
    <t>Supported Location Types</t>
  </si>
  <si>
    <t>Complete Street Address including sub-address information (e.g., apartment number, suite number, etc.)</t>
  </si>
  <si>
    <t>When the Interface discovers a new 9-1-1 call and the ALI record contains a street address as the location, the location data will be subjected to the location validation process as a background function with no user involvement.</t>
  </si>
  <si>
    <t>When using latitude and longitude as the location for the CAD Incident, the CAD system will attempt to determine the closest nearby location with a street address.</t>
  </si>
  <si>
    <t>The call taker has the choice of using the latitude and longitude or the inserted street address for the Incident location.</t>
  </si>
  <si>
    <t>Latitude ('x'), Longitude ('y') and Altitude ('z') coordinates.</t>
  </si>
  <si>
    <t>The system accepts Latitude ('x') and Longitude ('y') coordinates only (no Altitude ('X') as a valid location.</t>
  </si>
  <si>
    <t>The system accepts Latitude ('x'), Longitude ('y') and Altitude ('z') coordinates as a valid location.</t>
  </si>
  <si>
    <t>When receiving only latitude and longitude (or latitude, longitude and altitude) as the caller's location, the CAD system will attempt to determine the closest nearby location with a street address</t>
  </si>
  <si>
    <t>An altitude received from the ALI Interface is used in location validation to identify locations where altitude is a relevant component (e.g., roadways vs. overpasses)</t>
  </si>
  <si>
    <t>Latitude and longitude information received from the ALI Interface is recorded to the Incident record even in instances where the latitude and longitude is not used for determining Incident location</t>
  </si>
  <si>
    <t>Enhanced 911 Phase II</t>
  </si>
  <si>
    <t>The interface supports all applicable sections of 47 CFR 9 of FCC regulations including the requirements for Wireless Phase II compliance.</t>
  </si>
  <si>
    <t>A call-for-service can be generated using latitude and longitude provided through the ALI Interface as the location for the CAD Incident.</t>
  </si>
  <si>
    <t>Location Rebid</t>
  </si>
  <si>
    <t>Location rebid through the 9-1-1 phone system can be initiated from within the CAD environment.</t>
  </si>
  <si>
    <t>The call taker has the choice of updating the Incident location with data provided in response to the rebid request.</t>
  </si>
  <si>
    <t>The data provided in response to the rebid is recorded to the Incident record even in instances where the provided data is not used to update the Incident location.</t>
  </si>
  <si>
    <t>Next Generation 9-1-1 (NG9-1-1)</t>
  </si>
  <si>
    <t>The ALI Interface accepts emergency call and location data originating from Session Initiation Protocol (SIP) with location conveyance.</t>
  </si>
  <si>
    <t>Street Alias</t>
  </si>
  <si>
    <t>A client-maintained table is provided for programmatic transformation of numerical street names provided through the interface to a normalized form (e.g., SECOND ST is converted to 2ND ST)</t>
  </si>
  <si>
    <t>A client-maintained table is provided for programmatic transformation of street types provided through the interface (e.g., STREET is converted to ST)</t>
  </si>
  <si>
    <t>A client-maintained table is provided for programmatic transformation of city names provided through the interface (e.g., SF is converted to San Francisco)</t>
  </si>
  <si>
    <t xml:space="preserve">A client-maintained table is provided for programmatic substitution of street names provided through the interface (e.g., MAIN ST is synonymous with HWY 49 and MAIN ST should be used as the CAD Incident location) </t>
  </si>
  <si>
    <t>The street alias files are maintained in the CAD system.</t>
  </si>
  <si>
    <t>The street alias files are maintained in the GIS data.</t>
  </si>
  <si>
    <t>ALI Data Routing</t>
  </si>
  <si>
    <t>A utility is provided that enables the Agency to define the association between an answering position in the 9-1-1 phone system and the corresponding CAD workstation ID.</t>
  </si>
  <si>
    <t>Multiple ALI Record Formats</t>
  </si>
  <si>
    <t>As the format and content of ALI messages can vary based on class of service and network provider, a utility is provided for the Agency to manage the parsing routines used to capture data from all different forms of ALI records.</t>
  </si>
  <si>
    <t>A utility is provided for the Agency make updates to the message parsing without assistance or additional costs from the vendor.</t>
  </si>
  <si>
    <t>ALI Record Errors</t>
  </si>
  <si>
    <t>A utility is provided for call takers to document ALI errors and issues with reports available to system administrators identifying 9-1-1 database records that need updating or correction.</t>
  </si>
  <si>
    <t>Technical Requirements</t>
  </si>
  <si>
    <t>The ALI interface is implemented using a persistent TCP/IP connection with the 9-1-1 call handling system.</t>
  </si>
  <si>
    <t>The interface supports handshaking between systems for the earliest possible notification of system or Interface failure,</t>
  </si>
  <si>
    <t>Standards Compliance</t>
  </si>
  <si>
    <t>Most current edition of the NENA Standard 02-011 for format and content of ALI records.</t>
  </si>
  <si>
    <t>FCC Enhanced 9-1-1 Wireless Phase 2 Standards.</t>
  </si>
  <si>
    <t>U.S. Postal Service Publication 28 of postal addressing standards for street address locations.</t>
  </si>
  <si>
    <t xml:space="preserve">Text-to-911 </t>
  </si>
  <si>
    <t>The ALI Interface integrates with the native text-to-911 features of the 9-1-1 phone system to enable bidirectional text comunications from within the CAD environment.</t>
  </si>
  <si>
    <t>The ALI Interface integrates with text-to-911 features provided through a third-party texting application to enable bidirectional text communications from within the CAD environment.</t>
  </si>
  <si>
    <t>The complete text-to-911 dialogue is recorded with the CAD Incident record whether the text conversation is executed from within the telephony environment or from within the CAD environment.</t>
  </si>
  <si>
    <t>Audit Log</t>
  </si>
  <si>
    <t>The Interface Audit Log includes, but is not limited to:</t>
  </si>
  <si>
    <t>Failed Messages</t>
  </si>
  <si>
    <t>Operating Environments</t>
  </si>
  <si>
    <t>The 911 ALI interface is available in the following Environments:</t>
  </si>
  <si>
    <t>Production</t>
  </si>
  <si>
    <t>Training</t>
  </si>
  <si>
    <t>Testing</t>
  </si>
  <si>
    <t>Disaster Recovery</t>
  </si>
  <si>
    <t>Project Services</t>
  </si>
  <si>
    <t xml:space="preserve">The selected vendor schedules and completes interface testing with the City and the 9-1-1 call-handling system vendor/manufacturer in advance of going live. </t>
  </si>
  <si>
    <t>Warranty and annual extended service costs cover any modifications to the interface required to keep it operational following any update of the operating platform and/or application software without additional cost.</t>
  </si>
  <si>
    <t>A 9-1-1 ALI Interface is in production and has been used by at least one client for the past year.</t>
  </si>
  <si>
    <t>ACCURINT</t>
  </si>
  <si>
    <t>Proposal includes pricing for an interface to publish CAD Incident and Unit data for all police responses and RMS Incident, Case and Arrest data for all police records where it is available for consumption by a Lexis Nexis Accurint Crime Analysis system.</t>
  </si>
  <si>
    <t>The Interface supports inclusion of all CAD and RMS data requested by LexisNexis that is available as a standard data element of the CAD and RMS systems.</t>
  </si>
  <si>
    <t>Any data captured through Agency-added fields can be included in the export, based on Agency settings.</t>
  </si>
  <si>
    <t xml:space="preserve">CAD and RMS data will be published to a mutually accessible staging folder using well-structured XML documents. </t>
  </si>
  <si>
    <t>The Interface publishes records to the shared folder once each day or at intervals specified by the City.</t>
  </si>
  <si>
    <t>If needed, the City will provide and configure space on their Secure FTP server for posting data that qualifies for export to the Accurint Crime Analysis system.</t>
  </si>
  <si>
    <t>The Interface is available in select operational environments</t>
  </si>
  <si>
    <t>The interface operates as an automated background process with no user involvement.</t>
  </si>
  <si>
    <t>In the event of an interface issue, client system administrator can initiate the publishing of a CAD Incident record or a range of records, including those. previously included or excluded, at any time</t>
  </si>
  <si>
    <t>An interface-specific audit log that cannot be edited or deleted is provided and accessible for searching and reporting by specially-authorized personnel.</t>
  </si>
  <si>
    <t>Date, time and message content are recorded to a dedicated audit log with each automatic or manual submission attempted whether rejected or completed.</t>
  </si>
  <si>
    <t>The audit log includes entries for any errors reported by the interface process and any errors or feedback reported by the third-party application.</t>
  </si>
  <si>
    <t>The audit log also includes entries for any change in state of the interface.</t>
  </si>
  <si>
    <t xml:space="preserve">The selected vendor schedules and completes interface testing with the City and LexisNexis in advance of go live </t>
  </si>
  <si>
    <t>Warranty and annual extended service costs cover any modifications to the interface required to keep it operational following any update of the operating platform and/or application software without additional cost</t>
  </si>
  <si>
    <t>A standard, configurable publisher of CAD and RMS data, as described here, for providing an Accurant or other crime analysis system CAD and RMS data is in production and is being used by at least one client for the past year</t>
  </si>
  <si>
    <t>Location Details</t>
  </si>
  <si>
    <t>Keyholder Information</t>
  </si>
  <si>
    <t>Changes in interface status</t>
  </si>
  <si>
    <t>ARREST</t>
  </si>
  <si>
    <t>The proposal includes pricing for a unidirectional interface to publish arrest and booking data where it is available for consumption by the Northwestern Regional Adult Detention Center Jail Management System</t>
  </si>
  <si>
    <t>A button or other graphical control is provided in the RMS Arrest module that, when activated by the arresting officer, initiates the publish of any existing arrest data from an RMS incident</t>
  </si>
  <si>
    <t>The Interface supports the inclusion of all Incident and Arrest data requested by the City and the jail management system vendor that is available as a standard data element of the RMS system</t>
  </si>
  <si>
    <t>The RMS aplication supports the capture of additional (beyond the product standard) arrest-related data elements and the interface supports inclusion of that data in the published packet of arrest data</t>
  </si>
  <si>
    <t xml:space="preserve">RMS arrest data is published to a mutually accessible staging folder using well-structured XML documents </t>
  </si>
  <si>
    <t>If needed, the City will provide and configure space on their Secure FTP server for posting data that qualifies for export to the jail management system</t>
  </si>
  <si>
    <t>In the event of an interface issue, client system administrator can initiate the publishing of an RMS Arrest record, including those previously included or excluded, at any time</t>
  </si>
  <si>
    <t xml:space="preserve">The system allows the adult detention center to send mug shots to the LERMS of City arrestees booked into the Center. </t>
  </si>
  <si>
    <t xml:space="preserve">The interface operates as an automated background process with no user involvement </t>
  </si>
  <si>
    <t>An interface-specific audit log that cannot be edited or deleted is provided and accessible for searching and reporting by specially-authorized personnel</t>
  </si>
  <si>
    <t>Date, time and message content are recorded to a dedicated audit log with each automatic or manual submission attempted whether rejected or completed</t>
  </si>
  <si>
    <t xml:space="preserve">The audit log includes entries for any errors reported by the interface process and any errors or feedback reported by the third-party application </t>
  </si>
  <si>
    <t>The audit log also includes entries for any change in state of the interface</t>
  </si>
  <si>
    <t xml:space="preserve">The selected vendor schedules and completes interface testing with the City and the jail management system vendor in advance of go live </t>
  </si>
  <si>
    <t>A standard, configurable publisher of RMS Arrest data, as described here, is in production and is being used by at least one client for the past year</t>
  </si>
  <si>
    <t>ASAP</t>
  </si>
  <si>
    <t>Proposal includes pricing for a bidirectional, real-time interface to receive and process alarm events and provide response dispositions through an interface with the APCO Automated Secure Alarm Protocol (ASAP) Service.</t>
  </si>
  <si>
    <t>All communications between an Alarm Company and the PSAP are conducted using services provided by Nlets and communicated through the Virginia Criminal Information Network (VCIN) network.</t>
  </si>
  <si>
    <t>The Agency limits participation in the electronic submission of alarm events to only those alarm companies that are explicitly authorized through Agency-maintained configuration settings.</t>
  </si>
  <si>
    <t>The ASAP Interface supports two Nlets Message Keys:</t>
  </si>
  <si>
    <t>ALQ: Information transmitted from the Alarm Company to the PSAP</t>
  </si>
  <si>
    <t>ALR: Information transmitted from the PSAP to the Alarm Company</t>
  </si>
  <si>
    <t>The ASAP Interface supports three functions:</t>
  </si>
  <si>
    <t>Programmatic creation of a CAD Incident based on an alarm event initiated by an alarm monitoring company using the ASAP service.</t>
  </si>
  <si>
    <t>The initial alarm activation message is subjected to same routine edits and validations as an Incident created by a user.</t>
  </si>
  <si>
    <t>The alarm activation message is rejected and the initiating alarm company is notified when the activation message fails the prescribed edits and validations.</t>
  </si>
  <si>
    <t>When a new Alarm Event message is accepted, a CAD Incident is created and is immediately queued to the appropriate dispatcher as a pending event.</t>
  </si>
  <si>
    <t>The dispatcher is alerted to new alarm events based on agency-managed configurations such as visual and/or audible alerts.</t>
  </si>
  <si>
    <t>For CAD systems that track alarm permit status natively or through integration with a third-party false alarm management application, the current permit status is  presented to the dispatcher along with the Incident record.</t>
  </si>
  <si>
    <t>The dispatcher may reject an alarm event after an Incident has been created if the alarm permit is not in good standing or any other reason in which case the initiating alarm company is notified.</t>
  </si>
  <si>
    <t>Automated transmission of updates through the Incident lifecycle.</t>
  </si>
  <si>
    <t>Alarm event received and CAD Incident created.</t>
  </si>
  <si>
    <t>Alarm event received and rejected based on unverifiable location and/or nature code.</t>
  </si>
  <si>
    <t>Automated notification from the PSAP to the alarm company when the first unit is assigned to the CAD Incident.</t>
  </si>
  <si>
    <t>Automated notification from the PSAP to the alarm company when the first unit arrives on scene at the location of the CAD Incident.</t>
  </si>
  <si>
    <t>Automated notification from the PSAP to the alarm company providing disposition when the CAD Incident is closed.</t>
  </si>
  <si>
    <t>Bidirectional updates between initiating alarm company and PSAP.</t>
  </si>
  <si>
    <t>Requests for cancellation initiated by the alarm company and acknowledged by the PSAP.</t>
  </si>
  <si>
    <t>Keyholder information submitted by the alarm company.</t>
  </si>
  <si>
    <t>Bidirectional user-initiated messaging for matters concerning the Alarm Event (e.g., keyholder ETA).</t>
  </si>
  <si>
    <t>The dispatcher is alerted to new unsolicited messages from the alarm company based on agency-managed configurations such as visual and/or audible alerts.</t>
  </si>
  <si>
    <t>ASAP Alarm Interface complies with version 3.3 of the Alarm Monitoring Company to PSAP CAD External Alarm Interface Exchange  schema originated as APCO/CSAA ANS 2.101.2-2014.</t>
  </si>
  <si>
    <t>An Audit Log of all alarm activity is available to authorized system administrators.</t>
  </si>
  <si>
    <t>Full transcripts of all communicaiton between systems</t>
  </si>
  <si>
    <t>Change in state of interface status</t>
  </si>
  <si>
    <t>The selected vendor schedules and completes interface testing with the City and VCIN/NLETS in advance of go-live.</t>
  </si>
  <si>
    <t>An ASAP Interface is in production and has been used by at least one client for the past year.</t>
  </si>
  <si>
    <t>AXON</t>
  </si>
  <si>
    <t>Proposal includes pricing for a unidirectional interface to supply select CAD Incident and Unit (Personnel) data to an Evidence.com system via a Web service.</t>
  </si>
  <si>
    <t>Proposal includes pricing for a unidirectional interface to supply select LERMS evidence data to an Evidence.com system via a Web service.</t>
  </si>
  <si>
    <t>Select data from every CAD Incident involving a response by law enforcement is transmitted to the Evidence.com system once each day using, and in a format consistent with, the Axon Partner API.</t>
  </si>
  <si>
    <t>The data transferred is limited to data available in the baseline CAD system.</t>
  </si>
  <si>
    <t>The Evidence.com system uses the CAD data to create an association between a CAD Incident and one or more body-worn camera (BWC) files.</t>
  </si>
  <si>
    <t>The system includes an interface to Axon Interview.</t>
  </si>
  <si>
    <t xml:space="preserve">The Interview interface will include hyperlinks for video files from the Evidence.com system. Hyperlinks to the video/photo files will be imported or created as attachments to related RMS records if the information allows OnCall Records to know which record to relate to (type and number, i.e., incident and incident number). </t>
  </si>
  <si>
    <t>There may be multiple video files for one Incident, each associated with a specific officer, requiring the submission of multiple records for one Incident and, in some cases, more than one record for the same officer.</t>
  </si>
  <si>
    <t>The interface is also available when operating in disaster recovery mode</t>
  </si>
  <si>
    <t>If the interface is not operational while in disaster recovery mode, the interface automatically transmits the data of any CAD Incidents that were missed while operating in disaster recovery mode</t>
  </si>
  <si>
    <t>The date, time and message content are recorded to a dedicated audit log with each automatic or manual submission attempted whether rejected or completed</t>
  </si>
  <si>
    <t xml:space="preserve">The selected vendor schedules and completes interface testing with the City in advance of go live </t>
  </si>
  <si>
    <t>An interface providing CAD Incident and Unit data to an Evidence.com system is in production and has been used by at least one client for the past year</t>
  </si>
  <si>
    <t>BEAST</t>
  </si>
  <si>
    <t>BEAST-1</t>
  </si>
  <si>
    <t>Advantageous</t>
  </si>
  <si>
    <t>Proposal includes pricing for a bidirectional interface for exchanging information between RMS and the City's existing Porter Lee BEAST property and evidence management system</t>
  </si>
  <si>
    <t>NOTE:  The BEAST system will continue to be used as the system of record for managing property and evidence.  The City, based on the specifications provided here, is seeking integration between systems that is best aligned to the normal workflow of the police department, minimizes duplicate data entry, and provides automated notifications based on events in either system.</t>
  </si>
  <si>
    <t>BEAST-2</t>
  </si>
  <si>
    <t>The interface is developed to conform to the standard application programming interfaces specifications published by Porter Lee</t>
  </si>
  <si>
    <t>BEAST-3</t>
  </si>
  <si>
    <t>Proposers will work with the City and Porter Lee to establish an efficient workflow for all integrated property and evidence intake, management and disposition tasks</t>
  </si>
  <si>
    <t>BEAST-4</t>
  </si>
  <si>
    <t xml:space="preserve">RMS users authorized to access the BREAST system can launch the BEAST application from within the RMS system and examine the current record for a selected article of property or evidence </t>
  </si>
  <si>
    <t>BEAST-5</t>
  </si>
  <si>
    <t>Data exchanges between the BEAST system and the Records Management System must support keeping the RMS updated with any evidence information necessary for the accurate and timely submission of NIBRS reports to the Illinois State Police</t>
  </si>
  <si>
    <t>Property and Evidence Intake -- Option Using BEAST</t>
  </si>
  <si>
    <t>BEAST-6</t>
  </si>
  <si>
    <t xml:space="preserve">Initial property and evidence intake is performed by the officer submitting the evidence for impound using the BEAST application </t>
  </si>
  <si>
    <t>BEAST-7</t>
  </si>
  <si>
    <t>When the officer enters the RMS Incident (case) number including any Supplement report ID in the BEAST Intake form/screen, the BEAST system generates a message that the Records Management System responds to requesting available case level information (e.g., offense, location, dates/times, involved people, etc.)</t>
  </si>
  <si>
    <t>BEAST-8</t>
  </si>
  <si>
    <t>When available, the data supplied by the Records Management System includes names of persons associated with the case as identified in complete or partially-complete RMS Incident reports</t>
  </si>
  <si>
    <t>BEAST-9</t>
  </si>
  <si>
    <t>The response from the Records Management System to the Intake notification from EvidenceOnQ occurs in near real-time and operates as a background function with no additional user intervention</t>
  </si>
  <si>
    <t>BEAST-10</t>
  </si>
  <si>
    <t xml:space="preserve">The RMS records in the associated Incident and/or Arrest record the information captured by the BEAST system during property and evidence intake </t>
  </si>
  <si>
    <t>BEAST-11</t>
  </si>
  <si>
    <t>When an officer returns to a report in the Records Management System after entering property and evidence in the BEAST system, the report is populated with the data entered during the intake process</t>
  </si>
  <si>
    <t>Property and Evidence Intake -- Option 2:  Using RMS</t>
  </si>
  <si>
    <t>BEAST-12</t>
  </si>
  <si>
    <t>Initial property and evidence intake is performed by the officer submitting the evidence for impound using the Records Management System</t>
  </si>
  <si>
    <t>BEAST-13</t>
  </si>
  <si>
    <t>The data collected by the RMS system is sufficient for the BEAST to create a record for each impounded article</t>
  </si>
  <si>
    <t>BEAST-14</t>
  </si>
  <si>
    <t>The RMS system prints barcoded labels for each article of property and evidence being impounded using a format that is acceptable to the BEAST system</t>
  </si>
  <si>
    <t>BEAST-15</t>
  </si>
  <si>
    <t>When the officer completes the property intake function using RMS, the interface sends a message to the BEAST system with incident information along with details for each article of property and evidence being impounded</t>
  </si>
  <si>
    <t>BEAST-16</t>
  </si>
  <si>
    <t>The message to the BEAST system includes the initial location where each article of property and evidence has been placed for safekeeping</t>
  </si>
  <si>
    <t>Property and Evidence Management -- BEAST &gt; RMS</t>
  </si>
  <si>
    <t>The Records Management System applies updates to the Incident/Case Record based on any of the following events reported by the BEAST system:</t>
  </si>
  <si>
    <t>BEAST-17</t>
  </si>
  <si>
    <t>New item entered directly in BEAST system</t>
  </si>
  <si>
    <t>BEAST-18</t>
  </si>
  <si>
    <t>Updates in the BEAST system to information of interest to the Records Management System, including:</t>
  </si>
  <si>
    <t>BEAST-19</t>
  </si>
  <si>
    <t>Changes to primarily location of storage (e.g., evidence room, impound lot, etc.)</t>
  </si>
  <si>
    <t>BEAST-20</t>
  </si>
  <si>
    <t>Transfers of custody</t>
  </si>
  <si>
    <t>BEAST-21</t>
  </si>
  <si>
    <t>Changes in status</t>
  </si>
  <si>
    <t>BEAST-22</t>
  </si>
  <si>
    <t>Any required translation or transformation of data provided by the BEAST system is performed by the Interface prior to insertion into the Records Management System</t>
  </si>
  <si>
    <t>Property and Evidence Management --  RMS &gt; BEAST</t>
  </si>
  <si>
    <t>The Records Management System sends an automatic update to the BEAST system based on events, including:</t>
  </si>
  <si>
    <t>BEAST-23</t>
  </si>
  <si>
    <t>Change in case manager</t>
  </si>
  <si>
    <t>BEAST-24</t>
  </si>
  <si>
    <t>Update to disposition</t>
  </si>
  <si>
    <t>BEAST-25</t>
  </si>
  <si>
    <t>BEAST-26</t>
  </si>
  <si>
    <t>BEAST-27</t>
  </si>
  <si>
    <t>BEAST-28</t>
  </si>
  <si>
    <t>BEAST-29</t>
  </si>
  <si>
    <t>BEAST-30</t>
  </si>
  <si>
    <t>The date, time and message content are logged for each property and evidence management event received through the interface</t>
  </si>
  <si>
    <t>BEAST-31</t>
  </si>
  <si>
    <t>BEAST-32</t>
  </si>
  <si>
    <t>BEAST-33</t>
  </si>
  <si>
    <t>BEAST-34</t>
  </si>
  <si>
    <t>Reasonable requests for telephone assistance received from the City or Porter Lee during the development, deployment and operation of the interface are responded to promptly</t>
  </si>
  <si>
    <t>BEAST-35</t>
  </si>
  <si>
    <t>BEAST-36</t>
  </si>
  <si>
    <t>An interface for exchanging data with a BEAST property and evidence management system or similar is in production and has been used by at least one client for the past year</t>
  </si>
  <si>
    <t>CAMEO</t>
  </si>
  <si>
    <t>ALOHA (Areal Location of Hazardous Atmospheres) is the air hazard modeling program in the CAMEO (Computer-Aided Management of Emergency Operations) software suite developed jointly by NOAA and the Environmental Protection Agency (EPA).  
ALOHA uses information provided by the Agency about a chemical release, and develops models of how quickly the chemical will escape from a tank, puddle, or gas pipeline and form a hazardous gas cloud.  ALOHA also models how that hazardous gas cloud will travel downwind.  If the chemical is flammable, ALOHA also models pool fires, BLEVEs, vapor cloud explosions, jet fires, and flammable gas clouds.
ALOHA produces a threat zone estimate, which illustrates the geographic area where a particular hazard is predicted to exceed a user-specified Level of Concern (LOC) at some time after the release begins.  The threat zone estimates are show on a grid in ALOHA and can be plotted on maps using MARPLOT (the EPA mapping application that is embedded in ALOHA), Esri’s ArcMap, Google Maps and Google Earth.</t>
  </si>
  <si>
    <t>CAMEO-1</t>
  </si>
  <si>
    <t>Proposal includes pricing for a bidirectional, real-time interface to receive and process threat analysis data received from an external CAMEO/ALOHA application.</t>
  </si>
  <si>
    <t>Information from ALOHA is transmitted to the interface based on settings communicated from the interface for each event using CAMEO, including:</t>
  </si>
  <si>
    <t>CAMEO-2</t>
  </si>
  <si>
    <t>Initiation (Registration) Message</t>
  </si>
  <si>
    <t>CAMEO-3</t>
  </si>
  <si>
    <t>Notification Request Message (will result in ALOHA sending an update when threat zone or threat point coordinates change)</t>
  </si>
  <si>
    <t>CAMEO-4</t>
  </si>
  <si>
    <t>Notification Termination Message</t>
  </si>
  <si>
    <t>CAMEO-5</t>
  </si>
  <si>
    <t>End of Session (Bye) Message</t>
  </si>
  <si>
    <t>The ALOHA application, based on direct Agency input and its database of chemical properties, provides through its interface textual information and advisories that need to be communicated to mobile users and memorialized as part of the Incident record, including:</t>
  </si>
  <si>
    <t>CAMEO-6</t>
  </si>
  <si>
    <t>Text Summary</t>
  </si>
  <si>
    <t>CAMEO-7</t>
  </si>
  <si>
    <t>Source Strength</t>
  </si>
  <si>
    <t>CAMEO-8</t>
  </si>
  <si>
    <t>Concentration and Dose Location Calculations</t>
  </si>
  <si>
    <t>CAMEO-9</t>
  </si>
  <si>
    <t>The ALOHA application provides options for exporting threat zones in several file formats including SHP (Esri) and KMZ (Google Maps and Google Earth).</t>
  </si>
  <si>
    <t>CAMEO-10</t>
  </si>
  <si>
    <t>The CAMEO interface captures the ALOHA export and distributes it, either automatically or upon user request, to mobile units assigned to the associated CAD Incident.</t>
  </si>
  <si>
    <t>CAMEO-11</t>
  </si>
  <si>
    <t>A mechanism is provided for simplifying the process used by field personnel to add the threat zone "layer" the ArcGIS, Google Maps or Google Earth applications.</t>
  </si>
  <si>
    <t>CAMEO-12</t>
  </si>
  <si>
    <t>There is no expectation that the interface supports the transmission of incident particulars needed by ALOHA to perform it's analysis; however, having such a capability would be an advantage (indicate here, or in Column D, if the proposer's standard CAMEO/ALOHA interface incudes support for sending required parameters from within the mobile application).</t>
  </si>
  <si>
    <t>CAMEO-13</t>
  </si>
  <si>
    <t>An Audit Log of all CAMEO/ALOHA activity is available to authorized system administrators.</t>
  </si>
  <si>
    <t>CAMEO-14</t>
  </si>
  <si>
    <t>Full transcripts of all messages between systems</t>
  </si>
  <si>
    <t>CAMEO-15</t>
  </si>
  <si>
    <t>CAMEO-16</t>
  </si>
  <si>
    <t>CAMEO-17</t>
  </si>
  <si>
    <t>CAMEO-18</t>
  </si>
  <si>
    <t>CAMEO-19</t>
  </si>
  <si>
    <t>CAMEO-20</t>
  </si>
  <si>
    <t>CAMEO-21</t>
  </si>
  <si>
    <t xml:space="preserve">The selected vendor schedules and completes interface testing with the City and NOAA in advance of go-live </t>
  </si>
  <si>
    <t>CAMEO-22</t>
  </si>
  <si>
    <t>CAMEO-23</t>
  </si>
  <si>
    <t>A CAMEO/ALOHA Interface is in production and has been used by at least one client for the past year</t>
  </si>
  <si>
    <t>BUSINESS INTELLIGENCE</t>
  </si>
  <si>
    <t>The system supports an interface to a third-party Business Intelligence and Analytics application.</t>
  </si>
  <si>
    <t xml:space="preserve">The system interfaces to a Tableau Business Intelligence and Analytics application.  </t>
  </si>
  <si>
    <t>Proposal includes pricing for an interface to publish CAD Incident and Unit data for all police responses and RMS Incident, Case and Arrest data for all police records where it is available for consumption by a Business Intelligence and Analytics application.</t>
  </si>
  <si>
    <t>The Interface supports inclusion of all CAD and RMS data requested by Tableau that is available as a standard data element of the CAD and RMS systems.</t>
  </si>
  <si>
    <t>The system is able to access all standard element data in CAD and RMS to analyze within Tableau.</t>
  </si>
  <si>
    <t xml:space="preserve">If needed, the City will provide and configure space on their Secure FTP server for posting data that qualifies for export to the Tableau BI application. </t>
  </si>
  <si>
    <t>The system supports the ability for the RMS to send data to a third party crime analysis application.</t>
  </si>
  <si>
    <t>The City has the ability to configure the types of RMS data that is sent.</t>
  </si>
  <si>
    <t>The City has the ability to configure the types of CAD data that is sent.</t>
  </si>
  <si>
    <t>The City has the ability to schedule data transfers.</t>
  </si>
  <si>
    <t>The City has the ability to manually transfer data from RMS to a third party crime analysis application.</t>
  </si>
  <si>
    <t xml:space="preserve">The selected vendor schedules and completes interface testing with the City and Tableau in advance of go live </t>
  </si>
  <si>
    <t>Reasonable requests for telephone assistance received from the City or Tableau during the development, deployment and operation of the interface are responded to promptly</t>
  </si>
  <si>
    <t>CAD2CAD</t>
  </si>
  <si>
    <t>The system can support two-way communications between the City CAD system. Augusta County, and Waynesboro's CAD system.</t>
  </si>
  <si>
    <t>The CAD-to-CAD solution provides real-time information sharing between two or more disparate CAD systems.</t>
  </si>
  <si>
    <t>The CAD-to-CAD solution provides automatic information sharing between two or more disparate CAD systems.</t>
  </si>
  <si>
    <t>CAD-toCAD Hub</t>
  </si>
  <si>
    <t>The proposed solution can connect to a CAD-to-CAD hub that automatically updates event and unit data for each connected CAD system.</t>
  </si>
  <si>
    <t>The proposed system includes a bidirectional CAD-to-CAD adapter that can communicate with a CAD-to-CAD hub.</t>
  </si>
  <si>
    <t>The proposed system includes an Application Programming Interface (API) for CAD-to-CAD connectivity and communications.</t>
  </si>
  <si>
    <t>The proposed solution allows the City to configure business rules to handle unit requests between the two CAD systems.</t>
  </si>
  <si>
    <t>The proposed solution allows the City to configure user filters to assist with unit requests between the two CAD systems.</t>
  </si>
  <si>
    <t>The proposed solution allows the City to use geofences to assist with unit requests between the two CAD systems.</t>
  </si>
  <si>
    <t>Unit Status</t>
  </si>
  <si>
    <t>CARFAX</t>
  </si>
  <si>
    <t>Proposal includes pricing for an interface to produce and submit an extract of crash data to LexisNexis for use with their CarFax service</t>
  </si>
  <si>
    <t>For the purposes of this pricing assume crash data will be supplied to the CarFax system using a Webservice developed to their specifications and a facsimile copy (PDF) of the report will be included in the export</t>
  </si>
  <si>
    <t>An extract of select data from each approved Traffic Collision Report is submitted electronically to the CarFax system</t>
  </si>
  <si>
    <t>The frequency the extract is produced is established and maintained by the City without vendor support</t>
  </si>
  <si>
    <t>The Staunton Police Department manages business rules for the programmatic identification of qualifying reports to be shared with the CrashLogic system</t>
  </si>
  <si>
    <t>A feature is provided to exclude individual report(s) from being exported to the CarFax system</t>
  </si>
  <si>
    <t>The extract is published to a Webservice defined by LexisNexis for receiving CarFax data</t>
  </si>
  <si>
    <t>Included with the extract is a facsimile copy of the crash report</t>
  </si>
  <si>
    <t>In the event of an interface issue, client system administrator can initiate the publishing of a Traffic Collision Report or a range of reports, including those previously included or excluded, at any time</t>
  </si>
  <si>
    <t>If the interface is not operational while in disaster recovery mode, the interface automatically publishes the data of any reports that were missed while operating in disaster recovery mode</t>
  </si>
  <si>
    <t>Reasonable requests for telephone assistance received from the City or LexisNexisduring the development, deployment and operation of the interface are responded to promptly</t>
  </si>
  <si>
    <t>An interface providing crash report data to a CarFax or similar system is in production and has been used by at least one client for the past year</t>
  </si>
  <si>
    <t>If the interface is not operational while in disaster recovery mode, the interface automatically imports and processes the data of any reports that were missed while operating in disaster recovery mode</t>
  </si>
  <si>
    <t>DRONES</t>
  </si>
  <si>
    <t>The proposed solution shall support interfacing with external unmanned aircraft system (UAS) platforms to associate drone deployments with CAD Incidents and RMS records.</t>
  </si>
  <si>
    <t>The proposed solution shall receive and display UAS operational status updates (e.g., available, deployed, on scene, mission complete) from interfaced drone systems within the CAD environment.</t>
  </si>
  <si>
    <t>The proposed solution shall ingest UAS location and mission-area data and display it within the CAD mapping environment using standard geospatial reference frameworks.</t>
  </si>
  <si>
    <t>The proposed solution shall support secure referencing or linking to live or recorded UAS video and imagery streams without requiring native storage or processing of raw video content.</t>
  </si>
  <si>
    <t>The proposed solution shall record UAS-related events (e.g., launch, arrival, incident clearance) within the CAD incident history for situational awareness and audit purposes.</t>
  </si>
  <si>
    <t>The proposed solution shall enforce role-based access controls for viewing or accessing UAS-related data received through system interfaces.</t>
  </si>
  <si>
    <t>The proposed solution shall support referencing UAS-generated digital evidence within RMS records, including metadata and secure pointers to external evidence management systems, without altering the original content.</t>
  </si>
  <si>
    <t>The proposed solution shall utilize documented, standards-based application programming interfaces (APIs) or data exchange mechanisms to interface with UAS platforms.</t>
  </si>
  <si>
    <t>The proposed solution shall log UAS interface transactions and user interactions with UAS-related data to support auditing, compliance review, and after-action analysis.</t>
  </si>
  <si>
    <t>The proposed solution shall support UAS data integration for situational awareness without providing direct command-and-control of UAS flight operations through the CAD/RMS system.</t>
  </si>
  <si>
    <t>The proposed solution shall support agency-defined data ownership and retention policies for UAS-related data, including the ability to retain, archive, or purge references and metadata in accordance with agency policy and applicable law.</t>
  </si>
  <si>
    <t>The proposed solution shall preserve chain-of-custody integrity for UAS-related evidence by maintaining immutable metadata, access logs, and time stamps when referencing or associating UAS data with RMS records.</t>
  </si>
  <si>
    <t>The proposed solution shall ensure that any interface with UAS platforms enforces CJIS-aligned security controls, including authentication, authorization, encryption in transit, and segregation of criminal justice information.</t>
  </si>
  <si>
    <t>The proposed solution shall continue core CAD and RMS operations without degradation in the event of UAS system or interface unavailability.</t>
  </si>
  <si>
    <t>The proposed solution shall allow authorized administrators to configure which incidents, event types, or operational roles may access or view UAS-related data.</t>
  </si>
  <si>
    <t>The proposed solution shall support interfacing with multiple UAS platforms without requiring vendor-specific customization for each platform.</t>
  </si>
  <si>
    <t>The proposed solution shall support separation of training or simulated UAS data from live operational incidents.</t>
  </si>
  <si>
    <t>The proposed solution shall support identification and export of UAS-related records to support public records and FOIA requests, subject to agency policy and redaction requirements.</t>
  </si>
  <si>
    <t>The proposed solution shall support documentation and audit of user acknowledgment of agency UAS usage policies.</t>
  </si>
  <si>
    <t>The proposed solution shall be capable of adapting to future APCO, NENA, or national public-safety data standards related to UAS integration without requiring system replacement.</t>
  </si>
  <si>
    <t>The proposed solution shall not provide any capability to remotely control, configure, or issue operational commands to UAS devices through the CAD or RMS interface.</t>
  </si>
  <si>
    <t>The proposed solution shall provide full transparency into any vendor, subcontractor, or third-party access to UAS systems or data, including the ability for the agency to audit, restrict, or disable such access.</t>
  </si>
  <si>
    <t>Any interfaced UAS platform shall support strong device authentication, unique credentials per device, and protection against unauthorized remote access in accordance with industry cybersecurity best practices.</t>
  </si>
  <si>
    <t>The proposed solution shall ensure that UAS interfaces operate within segmented network boundaries, preventing lateral movement between UAS systems and core CAD/RMS infrastructure.</t>
  </si>
  <si>
    <t>The proposed solution shall require vendors to notify the agency of any confirmed or suspected security incident involving UAS devices, infrastructure, or data within a defined timeframe.</t>
  </si>
  <si>
    <t>TREDS CRASH</t>
  </si>
  <si>
    <t>IDOT-1</t>
  </si>
  <si>
    <t>The proposal includes pricing for an interface to produce and submit an extract of crash data to the Virginia Traffic Records Electronic Data System (TREDS).</t>
  </si>
  <si>
    <t>IDOT-2</t>
  </si>
  <si>
    <t>An extract of data from each approved Traffic Collision Report is submitted electronically to TREDS.</t>
  </si>
  <si>
    <t>IDOT-3</t>
  </si>
  <si>
    <t>The extract follows the data mapping, message schema and transmission specifications published by TREDS.</t>
  </si>
  <si>
    <t>IDOT-4</t>
  </si>
  <si>
    <t>Traffic Collision Report data is transmitted to TREDS using their published Web Service.</t>
  </si>
  <si>
    <t>IDOT-5</t>
  </si>
  <si>
    <t>Data files are submitted to TREDS monthly in a batch process.</t>
  </si>
  <si>
    <t>IDOT-6</t>
  </si>
  <si>
    <t>The City can modify the time interval for submitting reports without vendor assistance.</t>
  </si>
  <si>
    <t>IDOT-7</t>
  </si>
  <si>
    <t>A utility is included that enables a City system administrator to submit or resubmit one or a range of reports, if needed</t>
  </si>
  <si>
    <t>IDOT-8</t>
  </si>
  <si>
    <t>The interface will provide a receipt acknowledgement when crash data is sent to TREDS.</t>
  </si>
  <si>
    <t>IDOT-9</t>
  </si>
  <si>
    <t>IDOT-10</t>
  </si>
  <si>
    <t>IDOT-12</t>
  </si>
  <si>
    <t>IDOT-13</t>
  </si>
  <si>
    <t>If the interface is not operational while in disaster recovery mode, the interface automatically initiates the transmission of any scheduled submissions that were missed while operating in disaster recovery mode</t>
  </si>
  <si>
    <t>IDOT-14</t>
  </si>
  <si>
    <t>IDOT-15</t>
  </si>
  <si>
    <t>IDOT-16</t>
  </si>
  <si>
    <t>IDOT-17</t>
  </si>
  <si>
    <t>IDOT-18</t>
  </si>
  <si>
    <t>IDOT-19</t>
  </si>
  <si>
    <t>The selected vendor will participate in any process required to obtain certification from TREDS for electronic submission of crash reports, unless the vendor already has that certification</t>
  </si>
  <si>
    <t>IDOT-20</t>
  </si>
  <si>
    <t>The selected vendor schedules and completes interface testing with the City and TREDS in advance of go-live .</t>
  </si>
  <si>
    <t>IDOT-21</t>
  </si>
  <si>
    <t>IDOT-22</t>
  </si>
  <si>
    <t>An interface providing crash report data to TREDS is in production and has been used by at least one client for the past year following state certification</t>
  </si>
  <si>
    <t>IDOT-23</t>
  </si>
  <si>
    <t>The Proposer has previously delivered Crash data through electronic submission that was accepted by TREDS.</t>
  </si>
  <si>
    <t>Row to be Numbered</t>
  </si>
  <si>
    <t>CRASH</t>
  </si>
  <si>
    <t>Proposal includes pricing for an interface to produce and submit an extract of crash data to LexisNexis for use with their CrashLogic service</t>
  </si>
  <si>
    <t>For the purposes of this pricing assume crash data will be supplied to the CrashLogic system using a Webservice developed to their specifications and a facsimile copy (PDF) of the report will be included in the export</t>
  </si>
  <si>
    <t>An extract of select data from each approved Traffic Collision Report is submitted electronically to the CrashLogic system</t>
  </si>
  <si>
    <t>The Winchester Police Department manages business rules for the programmatic identification of qualifying reports to be shared with the CrashLogic system</t>
  </si>
  <si>
    <t>A feature is provided to exclude individual report(s) from being exported to the CrashLogic system</t>
  </si>
  <si>
    <t>The extract is published to a Webservice defined by LexisNexis for receiving CrashLogic data</t>
  </si>
  <si>
    <t>An interface providing crash report data to a CrashLogic or similar system is in production and has been used by at least one client for the past year</t>
  </si>
  <si>
    <t>CryWolf</t>
  </si>
  <si>
    <t>CryWolf-1</t>
  </si>
  <si>
    <t>Proposal includes pricing for a unidirectional interface to supply select CAD Incident data to the City's CryWolf False Alarm Reporting System</t>
  </si>
  <si>
    <t>CryWolf is a cloud-hosted subscription service provided under license from Central Square Technologies</t>
  </si>
  <si>
    <t>CryWolf-2</t>
  </si>
  <si>
    <t>The Interface supplies the CAD Incident information necessary for the CryWolf system to generate invoices for false alarm events</t>
  </si>
  <si>
    <t>CryWolf-3</t>
  </si>
  <si>
    <t>The interface publishes data to the CryWolf system for all CAD Incidents that are closed with a unique disposition that identifies it as a false alarm event</t>
  </si>
  <si>
    <t>CryWolf-4</t>
  </si>
  <si>
    <t>A unique record is published for each false alarm event</t>
  </si>
  <si>
    <t>CryWolf-5</t>
  </si>
  <si>
    <t>The data to be included in the false alarm record is specified by CentralSquare; however, it is limited to data available in the baseline CAD system</t>
  </si>
  <si>
    <t>CryWolf-6</t>
  </si>
  <si>
    <t>Records of false alarm events for a 24-hour period are published once each day</t>
  </si>
  <si>
    <t>CryWolf-7</t>
  </si>
  <si>
    <t>The City is able to configure and update the time of transfer without assistance from the vendor</t>
  </si>
  <si>
    <t>CryWolf-8</t>
  </si>
  <si>
    <t>The records are published using a webservice provided by CentralSquare</t>
  </si>
  <si>
    <t>CryWolf-9</t>
  </si>
  <si>
    <t>The interface operates as a background function with no user intervention</t>
  </si>
  <si>
    <t>CryWolf-10</t>
  </si>
  <si>
    <t>In the event of an interface issue, client system administrator can initiate the publishing of a false alarm record or a range of records, including those previously included or excluded, at any time</t>
  </si>
  <si>
    <t>CryWolf-11</t>
  </si>
  <si>
    <t xml:space="preserve">CryWolf also provides the ability to manage the alarm registration/permitting process online on behalf of their client  </t>
  </si>
  <si>
    <t>CryWolf-12</t>
  </si>
  <si>
    <t>Indicate if the proposed interface incudes the ability for alarm permit data supplied to the City from CryWolf to be programmatically added to the CAD system premise data</t>
  </si>
  <si>
    <t>CryWolf-13</t>
  </si>
  <si>
    <t>Alarm permit data supplied to the City from CryWolf can be programmatically added to the CAD system premise data.</t>
  </si>
  <si>
    <t>CryWolf-14</t>
  </si>
  <si>
    <t>Indicate if the proposed interface incudes the ability for alarm permit data maintained by the CryWolf system to be queried in real-time by authorized CAD   users</t>
  </si>
  <si>
    <t>CryWolf-15</t>
  </si>
  <si>
    <t>The system provides the ability for alarm permit data maintained by the CryWolf system to be queried in real-time by authorized CAD users.</t>
  </si>
  <si>
    <t>CryWolf-16</t>
  </si>
  <si>
    <t>CryWolf-17</t>
  </si>
  <si>
    <t>CryWolf-18</t>
  </si>
  <si>
    <t>CryWolf-19</t>
  </si>
  <si>
    <t>CryWolf-20</t>
  </si>
  <si>
    <t>CryWolf-21</t>
  </si>
  <si>
    <t>The date, time and message content are recorded to a dedicated audit log with each query attempted whether rejected or completed</t>
  </si>
  <si>
    <t>CryWolf-22</t>
  </si>
  <si>
    <t>CryWolf-23</t>
  </si>
  <si>
    <t>CryWolf-24</t>
  </si>
  <si>
    <t xml:space="preserve">The selected vendor schedules and completes interface testing with the City and CentralSquare in advance of go live </t>
  </si>
  <si>
    <t>CryWolf-25</t>
  </si>
  <si>
    <t>Reasonable requests for telephone assistance received from the City and/or CentralSquare during the development, deployment and operation of the interface are responded to promptly</t>
  </si>
  <si>
    <t>CryWolf-26</t>
  </si>
  <si>
    <t>CryWolf-27</t>
  </si>
  <si>
    <t>An interface for publishing records of false alarm events to CryWolf for similar system is in production and has been used by at least one client for the past year</t>
  </si>
  <si>
    <t>Esri</t>
  </si>
  <si>
    <t>Background: Esri products are used in pubic-facing web portals to illustrate police and fire activities on maps primarily for news and media organizations</t>
  </si>
  <si>
    <t>Esri-1</t>
  </si>
  <si>
    <t>Proposal includes pricing for a unidirectional interface to publish CAD Incident and Unit data from select incidents for use by the City in public-facing web portals that are independent of the systems being proposed</t>
  </si>
  <si>
    <t>Esri-2</t>
  </si>
  <si>
    <t>The interface includes client-maintained options for triggering the sharing of data based on factors such as incident type, status changes, etc.</t>
  </si>
  <si>
    <t>Esri-3</t>
  </si>
  <si>
    <t xml:space="preserve">The interface includes client-maintained options for delaying the sharing of data based on incident type </t>
  </si>
  <si>
    <t>Esri-4</t>
  </si>
  <si>
    <t>The interface includes client-maintained options to limit/restrict the inclusion of certain types of data such as caller name/phone, text comments, etc.</t>
  </si>
  <si>
    <t>Esri-5</t>
  </si>
  <si>
    <t>The interface includes client-maintained options for translating certain data elements to a generic or plain-English value such as call type codes to call type description, etc.</t>
  </si>
  <si>
    <t>Esri-6</t>
  </si>
  <si>
    <t>The interface includes client-maintained options for "neutralizing" certain data elements such as converting civil street addresses to hundreds block</t>
  </si>
  <si>
    <t>Esri-7</t>
  </si>
  <si>
    <t xml:space="preserve">Ideally, the flags and translations specified above would be mostly maintained in the CAD call type table </t>
  </si>
  <si>
    <t>Esri-8</t>
  </si>
  <si>
    <t>A transaction is available to authorized end users for excluding an incident that would otherwise have been shared or to share an incident that is otherwise excluded from sharing</t>
  </si>
  <si>
    <t>Esri-9</t>
  </si>
  <si>
    <t>If the transaction is executed for an incident already being shared, the interface will send a message to Esri to remove the incident from the current map display</t>
  </si>
  <si>
    <t>Esri-10</t>
  </si>
  <si>
    <t>The interface uses standard ArcGIS webservices specified by Esri</t>
  </si>
  <si>
    <t>Esri-11</t>
  </si>
  <si>
    <t>Esri-12</t>
  </si>
  <si>
    <t>Esri-13</t>
  </si>
  <si>
    <t>Esri-14</t>
  </si>
  <si>
    <t>Esri-15</t>
  </si>
  <si>
    <t>Esri-16</t>
  </si>
  <si>
    <t>Esri-17</t>
  </si>
  <si>
    <t>Esri-18</t>
  </si>
  <si>
    <t>Esri-19</t>
  </si>
  <si>
    <t>Esri-20</t>
  </si>
  <si>
    <t>Esri-21</t>
  </si>
  <si>
    <t xml:space="preserve">The selected vendor schedules and completes interface testing with the City and Esri in advance of go live </t>
  </si>
  <si>
    <t>Esri-22</t>
  </si>
  <si>
    <t>Esri-23</t>
  </si>
  <si>
    <t>A configurable publisher of CAD Incident and Unit data, as described here, is in production and is being used by at least one client for the past year</t>
  </si>
  <si>
    <t>eCITATION</t>
  </si>
  <si>
    <t>eCitation</t>
  </si>
  <si>
    <t>Responses to DMV queries (driver's license and vehicle registration) received from VCIN for transactions initiated by CAD and Mobile users are logged to a mutually-accessible staging folder for examination and retrieval by the eSummons Electronic Citation application</t>
  </si>
  <si>
    <t xml:space="preserve">Likewise, responses to RMS queries (master name and vehicle indices) initiated by CAD and Mobile users are logged to the same staging folder </t>
  </si>
  <si>
    <t>The data is published as individual XML documents with the same format and nomenclature for records received from both VCIN and RMS</t>
  </si>
  <si>
    <t>Records can be accessed by eSummons using any combination of keys (depending on record type), including:</t>
  </si>
  <si>
    <t>Driver's License Number</t>
  </si>
  <si>
    <t>Driver Name</t>
  </si>
  <si>
    <t>Vehicle License</t>
  </si>
  <si>
    <t>Vehicle VIN</t>
  </si>
  <si>
    <t>Associated Unit ID</t>
  </si>
  <si>
    <t>Associated CAD Incident Number</t>
  </si>
  <si>
    <t>All entries include the date and time the DMV query was initiated</t>
  </si>
  <si>
    <t>The interface manages the staging folder to the extent that, once each day, it deletes records more than 24 hours old</t>
  </si>
  <si>
    <t>If needed, the City will provide and configure space on their Secure FTP server for posting DMV responses used by the Quicket application</t>
  </si>
  <si>
    <t>Date, time and message content are recorded to a dedicated audit log with each submission attempted whether rejected or completed</t>
  </si>
  <si>
    <t xml:space="preserve">The selected vendor schedules and completes interface testing with Quicket and the City in advance of go live </t>
  </si>
  <si>
    <t>A standard, configurable publisher of responses to DMV and RMS queries, as described here, is in production and is being used by at least one client for the past year</t>
  </si>
  <si>
    <t>eCITATION IMPORT</t>
  </si>
  <si>
    <t>The proposal includes pricing for an interface to import traffic citation records from the State's eSummons Electronic Citation System.</t>
  </si>
  <si>
    <t>Electronic Citation records are published by eSummons as XML documents to a mutually-accessible staging folder following any required supervisor review and approval where they are available for ingestion by the Records Management System</t>
  </si>
  <si>
    <t>The staging folder provided for exchanging Electronic Citation data is examined daily by the Interface and any new records are retrieved and added to the Citation Module in the Records Management System.</t>
  </si>
  <si>
    <t>The staging folder is managed by the Interface to the extent that it deletes records following successful import into RMS</t>
  </si>
  <si>
    <t>The interface provides mapping of data received from the eSummons system into the RMS Citation record fields</t>
  </si>
  <si>
    <t>The interface accepts data that conforms to the standards established for the Virginia Uniform Citation and Complaint Form</t>
  </si>
  <si>
    <t>Essential data to be mapped between systems includes:</t>
  </si>
  <si>
    <t>Violator Identification (driver's license)</t>
  </si>
  <si>
    <t>Violator Name (including date of birth)</t>
  </si>
  <si>
    <t>Violator Address</t>
  </si>
  <si>
    <t>Vehicle Identification (where applicable)</t>
  </si>
  <si>
    <t>Location of Occurrence (to be geovalidated)</t>
  </si>
  <si>
    <t>Any other imported data that cannot be mapped between systems is to be added to the citation record as comments or narrative</t>
  </si>
  <si>
    <t xml:space="preserve">Imported Citation records can be subjected to an agency-defined workflow that can include supervisor review/approval and other QA checks </t>
  </si>
  <si>
    <t>Master Indices resolution for Name, Vehicle and Location data is performed as a background function and records that meet the City's threshold of minimum requirements for a master record are added to the associated index</t>
  </si>
  <si>
    <t>Once the traffic citation data is successfully imported and inserted into the RMS database, it is treated the same as citation records entered directly in the Records Management System</t>
  </si>
  <si>
    <t>Multiple citation records created as the result of multiple citations being issued for one event are linked to each other</t>
  </si>
  <si>
    <t>A citation record can be linked by reference to other types of records including Incident, Crash and Arrest</t>
  </si>
  <si>
    <t>If the interface is not operational while in disaster recovery mode, the interface automatically imports the data of any citations that were missed while operating in disaster recovery mode</t>
  </si>
  <si>
    <t>The date, time and message content are recorded to a dedicated audit log with each imported citation record</t>
  </si>
  <si>
    <t xml:space="preserve">The selected vendor schedules and completes interface testing with Quicket and  the City in advance of go live </t>
  </si>
  <si>
    <t>Reasonable requests for telephone assistance received from the City or Quicket during the development, deployment and operation of the interface are responded to promptly</t>
  </si>
  <si>
    <t>A standard, configurable importer of electronic citation data, as described here, is in production and is being used by at least one client for the past year</t>
  </si>
  <si>
    <t>EMD</t>
  </si>
  <si>
    <t>The proposal includes pricing for a bidirectional interface with Priority Dispatch Corp ProQA commercial patient protocol application for Emergency Medical Dispatching.</t>
  </si>
  <si>
    <t>The interface can be configured to launch the EMD application automatically based on call type entered in the Incident form.</t>
  </si>
  <si>
    <t>The EMD application can be launched by the call taker from within the CAD environment.</t>
  </si>
  <si>
    <t>Available basic CAD Incident data is available to the EMD application at time of launch.</t>
  </si>
  <si>
    <t>The call taker can transition easily between the EMD application and the CAD Incident form at any time.</t>
  </si>
  <si>
    <t>If, in the process of using the protocol application, the recommended call type and/or priority changes, the controlling dispatcher is immediately and automatically.</t>
  </si>
  <si>
    <t>When the patient protocol application is closed, the complete two-way dialogue is copied into the CAD Incident record.</t>
  </si>
  <si>
    <t>EFD</t>
  </si>
  <si>
    <t>The interface can be configured to launch the EFD application automatically based on call type entered in the Incident form.</t>
  </si>
  <si>
    <t>The EFD application can be launched by the call taker from within the CAD environment.</t>
  </si>
  <si>
    <t>Available basic CAD Incident data is available to the EFD application at time of launch.</t>
  </si>
  <si>
    <t>The call taker can transition easily between the EFD application and the CAD Incident form at any time.</t>
  </si>
  <si>
    <t>If, in the process of using the protocol application, the recommended call type and/or priority changes, the controlling dispatcher is notified immediately and automatically.</t>
  </si>
  <si>
    <t>When the caller protocol application is closed, the complete two-way dialogue is copied into the CAD Incident record.</t>
  </si>
  <si>
    <t>Reasonable requests for telephone assistance received from the City or the EMD vendor during the development, deployment and operation of the interface are responded to promptly</t>
  </si>
  <si>
    <t>An interface with an EMD application to provide the functionality described here or similar is in production and has been used by at least one client for the past year</t>
  </si>
  <si>
    <t>The proposed solution shall support an interface to external simulation-based Emergency Medical Dispatch (EMD) training systems to enable dispatch supervisors to conduct call-taking simulations and scenarios, with training participation and completion data available for tracking within existing continuing education and certification management tools (e.g., AQUA/CE).</t>
  </si>
  <si>
    <t>ePCR</t>
  </si>
  <si>
    <t>The Interface supports the inclusion of all Incident and Unit data requested by the City and ImageTrend that is available as a standard data element of the CAD system</t>
  </si>
  <si>
    <t>The minimum data to be supplied in the published record includes all CAD Incident and Unit data that is used by the electronic patient care system application for initiating reports to the National Emergency Medical Services Information System (NEMESIS)</t>
  </si>
  <si>
    <t>The system captures multiple Incident and Unit events, along with the time of the event (if a discrete CAD transaction is NOT available for an event, describe here (Column D) how the event is recorded by the dispatcher in a manner that supports post-incident reporting)</t>
  </si>
  <si>
    <t>Time Call Answered</t>
  </si>
  <si>
    <t>Time Incident Created</t>
  </si>
  <si>
    <t>Time Each Unit Assigned</t>
  </si>
  <si>
    <t>Time Each Unit Responding</t>
  </si>
  <si>
    <t>Time Each Unit Recalled (Cancelled Enroute)</t>
  </si>
  <si>
    <t>Time Each Unit Staged</t>
  </si>
  <si>
    <t>Time First Unit Arrived</t>
  </si>
  <si>
    <t>Time Each Unit At Patient</t>
  </si>
  <si>
    <t>Time Each Unit Enroute Hospital</t>
  </si>
  <si>
    <t>Time Each Unit Arrived at Hospital</t>
  </si>
  <si>
    <t>Time Each Unit Returning</t>
  </si>
  <si>
    <t>Time Each Unit In-Quarters</t>
  </si>
  <si>
    <t>Time Incident Closed</t>
  </si>
  <si>
    <t>Final Incident Type</t>
  </si>
  <si>
    <t>Incident Disposition</t>
  </si>
  <si>
    <t>Reason, if Cancelled</t>
  </si>
  <si>
    <t>Primary Unit</t>
  </si>
  <si>
    <t>Primary Medic</t>
  </si>
  <si>
    <t>The CAD application supports the capture of additional (beyond the product standard) arrest-related data elements and the interface supports inclusion of that data in the published packet of CAD data</t>
  </si>
  <si>
    <t>Describe, here (Column D) or an attachment, the process required for the Agency to add data capture fields to the CAD system and the process required for the Agency to include those additional data elements when records are published</t>
  </si>
  <si>
    <t>A publish action can be triggered when an Incident status is changed, based on agency-managed configuration settings, to include:</t>
  </si>
  <si>
    <t>Incident Created</t>
  </si>
  <si>
    <t>Incident Cancelled</t>
  </si>
  <si>
    <t>Incident Closed</t>
  </si>
  <si>
    <t>A publish action can be triggered when any Unit status is changed, based on agency-managed configuration settings, to include:</t>
  </si>
  <si>
    <t>Unit Recalled (Cancelled Enroute)</t>
  </si>
  <si>
    <t>Unit Arrives at Hospital</t>
  </si>
  <si>
    <t>Unit Returning</t>
  </si>
  <si>
    <t>Unit Dispatched</t>
  </si>
  <si>
    <t>Unit Arrives On-scene</t>
  </si>
  <si>
    <t>Unit Enroute Hospital</t>
  </si>
  <si>
    <t>The agency may also set a time interval for publishing records for all open CAD Incidents for EMS agencies</t>
  </si>
  <si>
    <t xml:space="preserve">CAD Incident and Unit data is published to a mutually accessible staging folder using well-structured XML documents </t>
  </si>
  <si>
    <t>In the event of an interface issue, client system administrator can initiate the publishing of a CAD Incident record or a range of records, including those previously included or excluded, at any time</t>
  </si>
  <si>
    <t>If needed, the City will provide and configure space on their Secure FTP server for posting data that qualifies for export to the fire records management system</t>
  </si>
  <si>
    <t xml:space="preserve">The selected vendor schedules and completes interface testing with the City and ImageTrend in advance of go live </t>
  </si>
  <si>
    <t>A standard, configurable publisher of CAD Incident and Unit data, as described here, is in production and is being used by at least one client with a ImageTrend TabletPCR system for the past year</t>
  </si>
  <si>
    <t>Incident Location</t>
  </si>
  <si>
    <t>Incident Jurisdiction</t>
  </si>
  <si>
    <t>Incident Type/Nature</t>
  </si>
  <si>
    <t>Incident Priority</t>
  </si>
  <si>
    <t>Incident Alarm Level</t>
  </si>
  <si>
    <t>Sent Messages</t>
  </si>
  <si>
    <t>FRMS EXPORT</t>
  </si>
  <si>
    <t>Proposal includes pricing for a unidirectional interface to publish CAD Incident and Unit data for all incidents involving units from the Fire Departments where it is available for consumption by a Fire Records Management System</t>
  </si>
  <si>
    <t xml:space="preserve">The system can provide a bi-directional interface to FirstDue Fire Records Management System. </t>
  </si>
  <si>
    <t>The Interface supports the inclusion of all Incident and Unit data requested and the fire records management system vendor that is available as a standard data element of the CAD system</t>
  </si>
  <si>
    <t>The minimum data to be supplied in the published record includes all CAD Incident and Unit data that is used by the fire records management system for initiating reports to the National Fire Incident Reporting System (FIRS) or the National Emergency Medical Services Information System (NEMESIS)</t>
  </si>
  <si>
    <t>Of particular importance is the need to capture multiple Incident and Unit events, along with the time of the event (if a discrete CAD transaction is NOT available for an event, describe here (Column D) how the event is recorded by the dispatcher in a manner that supports post-incident reporting)</t>
  </si>
  <si>
    <t xml:space="preserve"> Time Each Unit At Patient</t>
  </si>
  <si>
    <t>Time Structure Declared Clear of Occupants</t>
  </si>
  <si>
    <t>Time Each Personnel Accountability Report (PAR)</t>
  </si>
  <si>
    <t>Time Each Size-Up</t>
  </si>
  <si>
    <t>Time Each Mayday</t>
  </si>
  <si>
    <t>Time of Each Incident Command Assignment and Update</t>
  </si>
  <si>
    <t>Time Each Alarm Level Change</t>
  </si>
  <si>
    <t>Time Transition from Offense to Defense Fire Attack</t>
  </si>
  <si>
    <t>Time Containment Report</t>
  </si>
  <si>
    <t>Time Under Control</t>
  </si>
  <si>
    <t>The agency may also set a time interval for publishing records for all open CAD Incidents for Fire and EMS agencies</t>
  </si>
  <si>
    <t xml:space="preserve">The selected vendor schedules and completes interface testing with the City and the selected fire records management system vendor in advance of go live </t>
  </si>
  <si>
    <t>A standard, configurable publisher of CAD Incident and Unit data, as described here, is in production and is being used by at least one client for the past year</t>
  </si>
  <si>
    <t>FRMS IMPORT</t>
  </si>
  <si>
    <t>Proposal includes pricing for a unidirectional interface to consume supplemental location data provided by a fire records management system where it is available for presentation to responding units and incorporation in a CAD Incident record</t>
  </si>
  <si>
    <t xml:space="preserve">The system can provide a bi-directional interface to an ImageTrend Fire Records Management System. </t>
  </si>
  <si>
    <t>The Interface also receives firefighter personnel and schedule data from the fire records management system and applies that information to the CAD system Roster function</t>
  </si>
  <si>
    <t>The fire records management system will publish updates to the supplemental location and schedule records in XML documents deposited to a mutually-accessible folder for retrieval and consumption by the Interface</t>
  </si>
  <si>
    <t>The Interface examines the SFTP server or alternative repository at intervals prescribed by the City and retrieves any new records</t>
  </si>
  <si>
    <t>If needed, the City will provide and configure space on their Secure FTP server for posting supplemental location and personnel/scheduling data that qualifies for import from the Fire Records Management System</t>
  </si>
  <si>
    <t>The Interface manages the SFTP server by deleting files upon successful import into the CAD system</t>
  </si>
  <si>
    <t>New supplemental location data received through the Interface will overwrite any existing data using the Location as the record key</t>
  </si>
  <si>
    <t>There is no expectation to update data provided by the fire records management system from within the CAD system</t>
  </si>
  <si>
    <t>As an alternative, if supported by the fire records management system, the CAD system could query the fire records management system for supplemental location data at time of Incident creation providing the same user experience as if the data were stored locally in the CAD system</t>
  </si>
  <si>
    <t>Hazardous Materials Information</t>
  </si>
  <si>
    <t>Hazardous Materials data provided by the fire records management system is stored in the CAD system and is included as part of the dispatch record transmitted to fire units when responding to any incident at a location that has hazardous materials data on file and is added to the CAD Incident record</t>
  </si>
  <si>
    <t xml:space="preserve">The Computer Aided Dispatch System includes a module or feature that supports the storage of location-based hazardous material information </t>
  </si>
  <si>
    <t>As an option to storing the hazardous materials data in the CAD system, a facsimile copy (PDF) of the hazardous materials records can be stored in the CAD system and made easily accessible to responding units</t>
  </si>
  <si>
    <t>The hazardous materials data available from each record stored in CAD includes (at minimum):</t>
  </si>
  <si>
    <t>Chemical Name</t>
  </si>
  <si>
    <t>UN ID Number</t>
  </si>
  <si>
    <t>CAS Registry Number</t>
  </si>
  <si>
    <t>Hazard Classification</t>
  </si>
  <si>
    <t>Hazardous Ingredients</t>
  </si>
  <si>
    <t>Physical Form</t>
  </si>
  <si>
    <t>Storage Location</t>
  </si>
  <si>
    <t>Storage Method</t>
  </si>
  <si>
    <t>Isolation Valve Location</t>
  </si>
  <si>
    <t>Maximum Storage Quantity</t>
  </si>
  <si>
    <t>Typical Storage Quantity</t>
  </si>
  <si>
    <t>Temperature and Pressure</t>
  </si>
  <si>
    <t>Physical Properties</t>
  </si>
  <si>
    <t>Chemical Properties</t>
  </si>
  <si>
    <t>Toxicology</t>
  </si>
  <si>
    <t>Physical Hazards</t>
  </si>
  <si>
    <t>Health Hazards</t>
  </si>
  <si>
    <t>Handling Precautions</t>
  </si>
  <si>
    <t>Control Measures</t>
  </si>
  <si>
    <t>Manufacturer</t>
  </si>
  <si>
    <t>Emergency Contact Number</t>
  </si>
  <si>
    <t>Emergency Equipment Location</t>
  </si>
  <si>
    <t>Spill Response</t>
  </si>
  <si>
    <t>Fire Response</t>
  </si>
  <si>
    <t>Medical Response</t>
  </si>
  <si>
    <t>First Aid</t>
  </si>
  <si>
    <t>Hydrant Information</t>
  </si>
  <si>
    <t>Hydrant data provided by the fire records management system is stored in the CAD system and is included as part of the dispatch record transmitted to fire units when responding to any fire or rescue incident and is added to the CAD Incident record</t>
  </si>
  <si>
    <t xml:space="preserve">The Computer Aided Dispatch System includes a module or feature that supports recording location-based fire hydrant information </t>
  </si>
  <si>
    <t>The five closest in-service hydrants to the location of an incident and all associated details are provided in the dispatch message sorted from closest to furthest</t>
  </si>
  <si>
    <t>Hydrants are identified by icons on a selectable map layer that will display hydrant details from the CAD record when an icon is selected</t>
  </si>
  <si>
    <t>The five closest in-service hydrants are also highlighted on a selectable layer of the map for units assigned to the Incident</t>
  </si>
  <si>
    <t>In addition to the location, additional information is provided for each hydrant, including (at minimum):</t>
  </si>
  <si>
    <t>Number</t>
  </si>
  <si>
    <t>Status (In/Out Service)</t>
  </si>
  <si>
    <t>Class (e.g., AA, A, B, C)</t>
  </si>
  <si>
    <t>Diameter</t>
  </si>
  <si>
    <t>Flow Rate</t>
  </si>
  <si>
    <t>Outlet Size and Thread Type (min. three per hydrant)</t>
  </si>
  <si>
    <t>Pre-plan Information</t>
  </si>
  <si>
    <t>Pre-plan data provided by the fire records management system is stored in the CAD system and is included as part of the dispatch record transmitted to fire units when responding to any incident at a location that has preplan data on file and is added to the CAD Incident record</t>
  </si>
  <si>
    <t xml:space="preserve">The Computer Aided Dispatch System includes a module or feature that supports the storage of pre-plan information </t>
  </si>
  <si>
    <t>As an option to storing the pre-plan data in the CAD system, a facsimile copy (PDF) of the pre-plan documents can be stored in the CAD system and made easily accessible to responding units</t>
  </si>
  <si>
    <t>The pre-plan data available from each record stored in CAD includes (at minimum):</t>
  </si>
  <si>
    <t>Building Envelope</t>
  </si>
  <si>
    <t>Fire Access Road</t>
  </si>
  <si>
    <t>Aerial Apparatus Access Locations</t>
  </si>
  <si>
    <t>Access Gate(s) Codes</t>
  </si>
  <si>
    <t>Knox Box Location</t>
  </si>
  <si>
    <t>Standpipe Location(s)</t>
  </si>
  <si>
    <t>Post Indicator Valve</t>
  </si>
  <si>
    <t>Fire Department Connection(s)</t>
  </si>
  <si>
    <t>Gas Shutoff</t>
  </si>
  <si>
    <t>Main External Electrical Disconnect</t>
  </si>
  <si>
    <t>Domestic Water Shutoff</t>
  </si>
  <si>
    <t>Internal Fire Sprinkler Riser Location</t>
  </si>
  <si>
    <t>Fire Alarm Control Panel Location</t>
  </si>
  <si>
    <t>Electrical Disconnects Within the Building</t>
  </si>
  <si>
    <t>Building Floorplans (images)</t>
  </si>
  <si>
    <t>Premise Information</t>
  </si>
  <si>
    <t>General premise data provided by the fire records management system is stored in the CAD system and is included as part of the dispatch record transmitted to fire units when responding to any incident and is added to the CAD Incident record</t>
  </si>
  <si>
    <t>It is expected that the CAD system will have a native Premise Information file and, if the premise records received from the fire management system are merged with those comingled by the CAD system, a solution is required to prevent conflicts where data supplied by one system inadvertently overwrites data provided by the other system</t>
  </si>
  <si>
    <t>Premise Information is subcategorized to include (as a minimum):</t>
  </si>
  <si>
    <t>General Business Information</t>
  </si>
  <si>
    <t>Disabled Persons</t>
  </si>
  <si>
    <t>Life Support Equipment Dependency</t>
  </si>
  <si>
    <t>Electricity Dependency</t>
  </si>
  <si>
    <t>Oxygen in Use</t>
  </si>
  <si>
    <t>Medical Assistance Device</t>
  </si>
  <si>
    <t>Storm Shelters/Safe Rooms</t>
  </si>
  <si>
    <t>Building/Home Access Instructions</t>
  </si>
  <si>
    <t>Fire Alarm</t>
  </si>
  <si>
    <t>AED Location(s)</t>
  </si>
  <si>
    <t>Personnel/Schedule Information</t>
  </si>
  <si>
    <t>The Interface applies personnel and schedule information received from the fire records management system to create daily rosters using the Roster feature of the CAD system</t>
  </si>
  <si>
    <t>The fire records management system is the system of record for creating and publishing the data needed by the CAD system to build shift rosters</t>
  </si>
  <si>
    <t>Once a shift has started, any unanticipated updates to the roster are completed in CAD</t>
  </si>
  <si>
    <t>Based on information received from the fire records management system, the Interface is expected to perform several functions, including (at minimum):</t>
  </si>
  <si>
    <t>Associate firefighters to shifts and assignments from current day to 100 days before current day</t>
  </si>
  <si>
    <t>Support semi-permanent shift schedules valid for up to one year at time of entry (e.g., chief officers, support staff, etc.)</t>
  </si>
  <si>
    <t>Replace older data, including data entered directly into the CAD system, with newer data supplied through the Interface (up to the beginning of the shift)</t>
  </si>
  <si>
    <t xml:space="preserve">The selected vendor schedules and completes interface testing with the City and the fire records management system vendor in advance of go live </t>
  </si>
  <si>
    <t>An Interface for importing supplemental location and firefighter scheduling information from a fire records management system, as described here, is in production and has been used by at least one client for the past year</t>
  </si>
  <si>
    <t>LiNX</t>
  </si>
  <si>
    <t xml:space="preserve">The system interfaces and can send CAD data to the National Capital Region (NCR) Law Enforcement Information Exchange (LiNX) database.  </t>
  </si>
  <si>
    <t xml:space="preserve">The system interfaces and can send RMS data to the National Capital Region (NCR) Law Enforcement Information Exchange (LiNX) database.  </t>
  </si>
  <si>
    <t>The system allows the user to schedule when the uploads to LiNX will occur:</t>
  </si>
  <si>
    <t>Real time</t>
  </si>
  <si>
    <t>An agency defined interval (e.g. hourly, daily, weekly)</t>
  </si>
  <si>
    <t>The user has the ability to determine the type of information or fields that is sent to LiNX.</t>
  </si>
  <si>
    <t>The system is capable of sending the following, but not limited to, types of information to LiNX:</t>
  </si>
  <si>
    <t>People</t>
  </si>
  <si>
    <t>Places</t>
  </si>
  <si>
    <t>Incidents</t>
  </si>
  <si>
    <t>Arrests</t>
  </si>
  <si>
    <t>Vehicles</t>
  </si>
  <si>
    <t>Crimes</t>
  </si>
  <si>
    <t>Contacts</t>
  </si>
  <si>
    <t>Weapons</t>
  </si>
  <si>
    <t>Pawned Items</t>
  </si>
  <si>
    <t>Field Interviews</t>
  </si>
  <si>
    <t>Mug Shots</t>
  </si>
  <si>
    <t>Unstructured data (e.g. investigative case reports and narrative, follow-up reports)</t>
  </si>
  <si>
    <t>Environments</t>
  </si>
  <si>
    <t>LIVESCAN</t>
  </si>
  <si>
    <t>Proposal includes pricing for a bidirectional interface with a livescan capture station</t>
  </si>
  <si>
    <t>RMS &gt; Livescan</t>
  </si>
  <si>
    <t>The RMS includes a user control (graphical button) that generates an export of name and demographic data to a livescan capture station</t>
  </si>
  <si>
    <t>The interface supplies the data required by the livescan capture station to register a person for taking digital fingerprints and/or mugshot</t>
  </si>
  <si>
    <t>The interface conforms to the application programming interface published by the livescan capture station vendor</t>
  </si>
  <si>
    <t>Livescan &gt; RMS</t>
  </si>
  <si>
    <t>After a person is fingerprinted, the RMS can accept a digital image of those fingerprints as supplied by the livescan capture station</t>
  </si>
  <si>
    <t>After a mugshot is taken, the RMS can accept a digital image of the mugshot supplied by the livescan capture station</t>
  </si>
  <si>
    <t>Images provided by the livescan capture station are applied to the master name index record for the person</t>
  </si>
  <si>
    <t xml:space="preserve">The import interface operates as an automated background process with no user involvement </t>
  </si>
  <si>
    <t>The date, time and export content are recorded to a dedicated audit log with each submission attempted whether rejected or completed</t>
  </si>
  <si>
    <t>The date, time and import content are recorded to a dedicated audit log with each image consumed by the records management system</t>
  </si>
  <si>
    <t>Reasonable requests for telephone assistance received from the City or the livescan capture station manufacturer during the development, deployment and operation of the interface are responded to promptly</t>
  </si>
  <si>
    <t>An interface exchanging data with a livescan capture station is in production and has been used by at least one client for the past year</t>
  </si>
  <si>
    <t>Proposal includes pricing for an interface to publish select RMS and CAD data for consumption by the FBI's National Data Exchange (N-DEx) System</t>
  </si>
  <si>
    <t>Categories of data eligible for submission to N-DEx that are supported by the interface include:</t>
  </si>
  <si>
    <t>RMS Incident and Case Reports</t>
  </si>
  <si>
    <t>RMS Supplement Reports</t>
  </si>
  <si>
    <t>RMS Incident and Case Narratives</t>
  </si>
  <si>
    <t>RMS Arrest Reports</t>
  </si>
  <si>
    <t>CAD Incidents</t>
  </si>
  <si>
    <t>Traffic Citations</t>
  </si>
  <si>
    <t>Photos</t>
  </si>
  <si>
    <t>The City is able to define the data set being shared with N-DEx</t>
  </si>
  <si>
    <t>The City is able to configure the export interval</t>
  </si>
  <si>
    <t>The interface conforms to the current edition of the N-DEx Information Exchange Package Documentation (IPE) accessible from the National Information Exchange Model (NIEM) Message Exchange Package (MEP) Repository</t>
  </si>
  <si>
    <t>If the interface is not operational while in disaster recovery mode, the interface automatically transmits the data of any CAD or RMS records that were missed while operating in disaster recovery mode</t>
  </si>
  <si>
    <t>The date, time and export content are recorded to a dedicated audit log with each automatic or manual submission attempted whether rejected or completed</t>
  </si>
  <si>
    <t>Reasonable requests for telephone assistance received from the City or the FBI during the development, deployment and operation of the interface are responded to promptly</t>
  </si>
  <si>
    <t>An interface providing RMS and CAD data to N-DEx is in production and has been used by at least one client for the past year</t>
  </si>
  <si>
    <t>The proposal includes pricing for a bidirectional interface with the City's Intrado Viper 7.0 SP2 NG911 system.</t>
  </si>
  <si>
    <t>Functions supported through the NG911 interface include:</t>
  </si>
  <si>
    <t>Caller Location Identification</t>
  </si>
  <si>
    <t>Text-to-911 Communications</t>
  </si>
  <si>
    <t>Advanced Automatic Crash Notification (AACN)</t>
  </si>
  <si>
    <t>Receipt of Caller-provided Media Files</t>
  </si>
  <si>
    <t>Location Data</t>
  </si>
  <si>
    <t>The system will accept all call data included in the PIDF-LO (Presence Information Data Format – Location Object) record provided by the NG911 system and incorporate relevant data in the CAD call taking process</t>
  </si>
  <si>
    <t>The Interface will accept, and the CAD system will process, IP-based location data received from an NG911 system, including:</t>
  </si>
  <si>
    <t>Embedded Location Data</t>
  </si>
  <si>
    <t>Referenced Location Data</t>
  </si>
  <si>
    <t>Both Embedded and Referenced Location Data</t>
  </si>
  <si>
    <t>The interface supports the transmission of a rebid request to the NG911 system</t>
  </si>
  <si>
    <t>Inbound Text-to-911 via NG911</t>
  </si>
  <si>
    <t>Incoming text conversations from the telephone system are presented in chronological order (oldest to newest) in a Pending Text Conversation Call Window</t>
  </si>
  <si>
    <t>The Pending Text Conversation Call Window displays, at a minimum, the following information:</t>
  </si>
  <si>
    <t>Date Received</t>
  </si>
  <si>
    <t>Time Received</t>
  </si>
  <si>
    <t>Latitude and Longitude converted and displayed as the Closest Available Civic Address</t>
  </si>
  <si>
    <t>Cellphone Number</t>
  </si>
  <si>
    <t>Initial Message</t>
  </si>
  <si>
    <t>A CAD user can select a message from the text conversation pending window and open up a Text Conversation Window</t>
  </si>
  <si>
    <t>Information available when the Text Conversation Window is first opened will populate the appropriate fields in the Text Conversation Window with, at a minimum, the following information:</t>
  </si>
  <si>
    <t>All Data Contained in the Pending Text Conversation Call Window</t>
  </si>
  <si>
    <t>Wireless Carrier</t>
  </si>
  <si>
    <t>Wireless Class of Service</t>
  </si>
  <si>
    <t>Wireless Accuracy</t>
  </si>
  <si>
    <t>The interface supports duplex dialogues (simultaneous generation of messages from both parties)</t>
  </si>
  <si>
    <t>Conversation segments  are displayed in reverse chronological order (newest to oldest) in a dedicated area of the Text Conversation Window</t>
  </si>
  <si>
    <t>Each conversation segment is recorded with the dialogue text, time and date transmitted and sending party ID</t>
  </si>
  <si>
    <t>Outbound segment records include CAD operator and workstation ID</t>
  </si>
  <si>
    <t>Outbound messages are not limited to a specific character count</t>
  </si>
  <si>
    <t>If the message exceeds the 160 character session limit, the message will be transmitted in two or more segments</t>
  </si>
  <si>
    <t>A character count is displayed with the outbound dialogue box</t>
  </si>
  <si>
    <t>Predefined messages can be added to the system and are accessible to the end user via a dropdown list</t>
  </si>
  <si>
    <t>The system is capable of receiving media (e.g. photos, video) within the Text Conversation Window.</t>
  </si>
  <si>
    <t>The system will provide a count of the media that is available for the text conversation.</t>
  </si>
  <si>
    <t>A log of conversation segments is displayed in reverse chronological order (newest to oldest)</t>
  </si>
  <si>
    <t>Outbound SMS Service via NG911</t>
  </si>
  <si>
    <t>The system is capable of initiating a text message from the Text Conversation Window by entering a phone number and a start conversation button.</t>
  </si>
  <si>
    <t>Text Log</t>
  </si>
  <si>
    <t>All SMS conversation are recorded even when no CAD Incident is created</t>
  </si>
  <si>
    <t>If a text-to-911 conversation is related to a CAD Incident, the conversation is also recorded to the CAD Incident record</t>
  </si>
  <si>
    <t>The system provides a link to past text conversation history based on phone number.</t>
  </si>
  <si>
    <t>Additional functions that can be executed from within the Text Conversation Window include:</t>
  </si>
  <si>
    <t>Location Rebid (via the NG911 interface)</t>
  </si>
  <si>
    <t>CAD Map Locate</t>
  </si>
  <si>
    <t>Create CAD Incident</t>
  </si>
  <si>
    <t>Update Existing CAD Incident</t>
  </si>
  <si>
    <t>Emergency calls placed by vehicles or Telematic Service Providers (TSPs) such as OnStar can be received via the NG911 system.</t>
  </si>
  <si>
    <t>The interface conforms to the version 3.1, or later, of the Vehicle Emergency Data Set (VEDS) Standard available from APCO and other industry sources</t>
  </si>
  <si>
    <t>The interface also conforms to the NENA i3 Standard for Next Generation 9‑1‑1 which includes specification for how Next-Generation AACN (NG-AACN) calls are initiated, identified and processed</t>
  </si>
  <si>
    <t>A unique icon is used with the map to illustrate calls received from telematic service providers</t>
  </si>
  <si>
    <t>Media Files</t>
  </si>
  <si>
    <t>Media (e.g. images, audio and video files and PDF documents) received from the NG911 interface can, based on end user security settings, be viewed and/or exchanged between CAD workstations and mobile data computers</t>
  </si>
  <si>
    <t>The Interface can access (view) and send (exchange) media files that were received through the NG911 network, including:</t>
  </si>
  <si>
    <t>Image Files (e.g., JPEG, PNG, GIF, TIFF, etc.)</t>
  </si>
  <si>
    <t>Audio Fields (e.g., MP3, WAV, etc.)</t>
  </si>
  <si>
    <t>Video Files (e.g.,  MP4, MOV, WMV, AVI, etc.)</t>
  </si>
  <si>
    <t>PDF Documents</t>
  </si>
  <si>
    <t>Authorization to  view media files can be configured by the City's security administrator as part of the user's security group membership</t>
  </si>
  <si>
    <t>Authorization to  share/send media files can be configured by the City's security administrator as part of the user's security group membership</t>
  </si>
  <si>
    <t>A workstation can be configured to restrict access to media files for viewing only, irrespective of user security</t>
  </si>
  <si>
    <t>Each workstation can be configured to restrict all access to media files, irrespective of user security</t>
  </si>
  <si>
    <t>Media can be attached to CAD events</t>
  </si>
  <si>
    <t>Media can be sent via CAD message</t>
  </si>
  <si>
    <t>Media can be sent via CAD email</t>
  </si>
  <si>
    <t>When viewing an Incident, users authorized to view media files will be notified that the Incident record has media attached via a visual indication</t>
  </si>
  <si>
    <t>Users authorized to view media files will be notified that a message has media attached via a visual indication</t>
  </si>
  <si>
    <t>Users authorized to view media files will be notified that an email has media attached via a visual indication</t>
  </si>
  <si>
    <t>Users authorized to share media files via CAD Incidents, CAD messages and CAD email on the following:</t>
  </si>
  <si>
    <t>CAD Workstations</t>
  </si>
  <si>
    <t>Mobile Data Computers</t>
  </si>
  <si>
    <t>Handheld (mobility) Devices</t>
  </si>
  <si>
    <t>Steaming Video</t>
  </si>
  <si>
    <t>The interface can receive, display and store streaming video supplied by the NG911 system</t>
  </si>
  <si>
    <t>The receipt of Location data, Text dialogues, Emergency Telematics information, Media data and Streaming Video events are recorded to the audit log</t>
  </si>
  <si>
    <t>Reasonable requests for telephone assistance received from the City or the NG911 vendor during the development, deployment and operation of the interface are responded to promptly</t>
  </si>
  <si>
    <t>An interface with a Next Generation 9-1-1 system to provide the functionality described here or similar is in production and has been used by at least one client for the past year</t>
  </si>
  <si>
    <t>NIBRS</t>
  </si>
  <si>
    <t>Proposal includes pricing for a unidirectional interface to extract and publish statistical crime data in conformance with National Incident-Based Reporting System (NIBRS) mandates and acceptable for submission to the Virginia State Police</t>
  </si>
  <si>
    <t xml:space="preserve">Data Capture (functions of the Records Management System) </t>
  </si>
  <si>
    <t>The RMS system captures all data elements required for NIBRS reporting as an artifact of basic Incident and Arrest reporting</t>
  </si>
  <si>
    <t>Incident and Arrest data capture forms include fields for recording any additional information required for NIBRS reporting that are not part of the basic forms</t>
  </si>
  <si>
    <t>NIBRS rules for data capture are enforced as close to the source of the data as practical</t>
  </si>
  <si>
    <t>The system imposes the conditional edits and data validation specified for NIBRS reporting</t>
  </si>
  <si>
    <t>End users, system administrators and others with access to the records management system are not able to make configuration changes that potentially impact the requirements and accuracy of data required for NIBRS reporting</t>
  </si>
  <si>
    <t>Client-managed workflows for processing Incident and Arrest reports are available to enable routing through persons responsive for quality control and submission of the monthly extract to the Virginia State Police.</t>
  </si>
  <si>
    <t>Certification</t>
  </si>
  <si>
    <t>The vendor is required to actively participate and engage the vendor's resources necessary to obtain timely certification by the Virginia Uniform Crime Reporting (IUCR) Program to submit NIBRS data into the Virginia NIBRS Repository (INR)</t>
  </si>
  <si>
    <t>An interface providing NIBRS Incident and Arrest data to the Virginia NIBRS Repository (INR) is in production and has been used by at least one client for the past year</t>
  </si>
  <si>
    <t>If the vendor has not delivered an interface for publishing NIBRS data that has   been certified by the Virginia State Police, a state-certified interface for  producing NIBRS data is in production and has been used by at least one client for the past year</t>
  </si>
  <si>
    <t>Extract</t>
  </si>
  <si>
    <t>A test extract can be produced in a format and using a medium suitable for the City to perform a final quality check of the pending extract</t>
  </si>
  <si>
    <t>The interface produces a monthly extract of crime and arrest data in a format and media acceptable to the Virginia State Police</t>
  </si>
  <si>
    <t>The extract incorporates any Incident and Arrest report data from previous submissions that were not included in the correct monthly extract</t>
  </si>
  <si>
    <t>The extract incorporates any Incident and Arrest report data from previous submissions that was updated during the current month</t>
  </si>
  <si>
    <t>On the assumption that there will be a period of time between operational go-live and the completion of NIBRS certification, the interface is able to produce a monthly extract(s) for the gap in reporting</t>
  </si>
  <si>
    <t>Production of the extract is initiated with a simple instruction by an authorized user</t>
  </si>
  <si>
    <t>The date, time and content of the extract are recorded to a dedicated audit log with each automatic or manual submission attempted whether rejected or completed</t>
  </si>
  <si>
    <t>The audit log includes entries for any errors reported by the extract process</t>
  </si>
  <si>
    <t>Reasonable requests for telephone assistance received from the City during the development, deployment and operation of the interface are responded to promptly</t>
  </si>
  <si>
    <t>Warranty and annual extended service costs cover any modifications to the interface that produces the extract and the content, format and rules required to keep it operational following any update of the operating platform and/or application software without additional cost</t>
  </si>
  <si>
    <t>OffenderWatch Export</t>
  </si>
  <si>
    <t>SexRegOut-1</t>
  </si>
  <si>
    <t>Proposal includes pricing for an interface to provide sex offender registration record adds and updates to OffenderWatch</t>
  </si>
  <si>
    <t>SexRegOut-2</t>
  </si>
  <si>
    <t>Incorporation of the interface requires the Records Management System collect the data elements required by OffenderWatch</t>
  </si>
  <si>
    <t>SexRegOut-3</t>
  </si>
  <si>
    <t>The interface will provide a daily extract of all new and updated sex offender records and publish them to the OffenderWatch system using a Webservice defined by OffenderWatch</t>
  </si>
  <si>
    <t>SexRegOut-4</t>
  </si>
  <si>
    <t>The time of the daily extract is configurable by the City without vendor participation</t>
  </si>
  <si>
    <t>SexRegOut-5</t>
  </si>
  <si>
    <t>SexRegOut-6</t>
  </si>
  <si>
    <t>In the event of an interface issue, client system administrator can initiate the publishing of a sex registrant record or a range of records, including those previously included or excluded, at any time</t>
  </si>
  <si>
    <t>SexRegOut-7</t>
  </si>
  <si>
    <t>SexRegOut-8</t>
  </si>
  <si>
    <t>SexRegOut-9</t>
  </si>
  <si>
    <t>SexRegOut-10</t>
  </si>
  <si>
    <t>SexRegOut-11</t>
  </si>
  <si>
    <t>SexRegOut-12</t>
  </si>
  <si>
    <t>SexRegOut-13</t>
  </si>
  <si>
    <t>SexRegOut-14</t>
  </si>
  <si>
    <t>SexRegOut-15</t>
  </si>
  <si>
    <t>SexRegOut-16</t>
  </si>
  <si>
    <t>SexRegOut-17</t>
  </si>
  <si>
    <t xml:space="preserve">The selected vendor schedules and completes interface testing with the City and OffenderWatch in advance of go live </t>
  </si>
  <si>
    <t>SexRegOut-18</t>
  </si>
  <si>
    <t>Reasonable requests for telephone assistance received from the City and/or OffenderWatch during the development, deployment and operation of the interface are responded to promptly</t>
  </si>
  <si>
    <t>SexRegOut-19</t>
  </si>
  <si>
    <t>SexRegOut-20</t>
  </si>
  <si>
    <t>An interface for transmitting sex offender records to OffenderWatch or similar system is in production and has been used by at least one client for the past year</t>
  </si>
  <si>
    <t>OffenderWatch Query</t>
  </si>
  <si>
    <t>On the assumption OffenderWatch can be queried by a foreign system, identify the options that could be used to enable end users to query OffenderWatch:</t>
  </si>
  <si>
    <t>SexRegQ-1</t>
  </si>
  <si>
    <t>Standalone query outside the CAD/Mobile/RMS environments</t>
  </si>
  <si>
    <t>SexRegQ-2</t>
  </si>
  <si>
    <t>Standalone query accessible from inside  the CAD/Mobile/RMS environments</t>
  </si>
  <si>
    <t>SexRegQ-3</t>
  </si>
  <si>
    <t>Part of a federated query (one name query generates searches of multiple systems (e.g., Wanted Persons, DMV, etc.)</t>
  </si>
  <si>
    <t>SexRegQ-4</t>
  </si>
  <si>
    <t>Other</t>
  </si>
  <si>
    <t>OnBase Export</t>
  </si>
  <si>
    <t>Background:  Currently, the City uses an OnBase Document Management System for storing physical records electronically.  This includes evidentiary documents, crash reports and additional types of physical records.
It is the City's preference to move away from a solution that has different parts of a case record in multiple locations and their desire is that these types of documents can be stored directly in the new records management system.  Documents stored in the records management system are to be linked to the associated Incident and/or Case records and be accessible directly from within the RMS environment.
If the Proposer does not have a native document management capability in their records management system, they must propose an interface to the existing OnBase system or offer a third-party alternative that is tightly integrated with the records management system.  
If a third-party alternative is offered, the OnBase interface should still be included in the baseline proposal costs and the third-party document management system should be quoted as an added cost option.</t>
  </si>
  <si>
    <t>OnBase-Q-1</t>
  </si>
  <si>
    <t>Unless the records management system includes  a native document management component that can be used to replace the OnBase system, the Proposal includes pricing for an interface to query the City's existing OnBase Document Management System</t>
  </si>
  <si>
    <t>OnBase-Q-2</t>
  </si>
  <si>
    <t>A button or other graphical control that, when activated by an authorized user, initiates a query of the OnBase system from within the RMS Incident or Case module</t>
  </si>
  <si>
    <t>OnBase-Q-3</t>
  </si>
  <si>
    <t>The format and content of the query message is defined by OnBase using their API and the RMS Case number as the record key</t>
  </si>
  <si>
    <t>OnBase-Q-4</t>
  </si>
  <si>
    <t>Submission of the query message results in any records matching the query criteria to be displayed within the OnBase environment (user interface) as the records themselves are never brought into the RMS environment</t>
  </si>
  <si>
    <t>OnBase-Q-5</t>
  </si>
  <si>
    <t>Subsequent examination of documents is performed using the OnBase application</t>
  </si>
  <si>
    <t>OnBase-Q-6</t>
  </si>
  <si>
    <t>OnBase-Q-7</t>
  </si>
  <si>
    <t xml:space="preserve">  • Production</t>
  </si>
  <si>
    <t>OnBase-Q-8</t>
  </si>
  <si>
    <t xml:space="preserve">  • Training</t>
  </si>
  <si>
    <t>OnBase-Q-9</t>
  </si>
  <si>
    <t xml:space="preserve">  • Testing</t>
  </si>
  <si>
    <t>OnBase-Q-10</t>
  </si>
  <si>
    <t>OnBase-Q-11</t>
  </si>
  <si>
    <t>OnBase-Q-12</t>
  </si>
  <si>
    <t>OnBase-Q-13</t>
  </si>
  <si>
    <t>OnBase-Q-14</t>
  </si>
  <si>
    <t>OnBase-Q-15</t>
  </si>
  <si>
    <t>OnBase-Q-16</t>
  </si>
  <si>
    <t xml:space="preserve">The selected vendor schedules and completes interface testing with the City and OnBase in advance of go live </t>
  </si>
  <si>
    <t>OnBase-Q-17</t>
  </si>
  <si>
    <t>Reasonable requests for telephone assistance received from the City and/or OnBase during the development, deployment and operation of the interface are responded to promptly</t>
  </si>
  <si>
    <t>OnBase-Q-18</t>
  </si>
  <si>
    <t>OnBase-Q-19</t>
  </si>
  <si>
    <t>An interface for exchanging data to OnBase or similar system is in production and has been used by at least one client for the past year</t>
  </si>
  <si>
    <t>PAGING</t>
  </si>
  <si>
    <t>The system can alert personnel through technologies such as text messaging or email.</t>
  </si>
  <si>
    <t>The Paging Interface supports multiple forms of devices and message requirements unique to those devices</t>
  </si>
  <si>
    <t>Alert-only pagers</t>
  </si>
  <si>
    <t>SMS-enabled devices</t>
  </si>
  <si>
    <t>Email recipients</t>
  </si>
  <si>
    <t>The Paging Interface delivers information and message content that can be uniquely defined by the agency based on any of the communication protocols listed below being used to deliver the message (e.g., message content can be different for an alphanumeric pager message than an email or text message)</t>
  </si>
  <si>
    <t>Telelocator Alphanumeric Protocol (TAP)</t>
  </si>
  <si>
    <t>Motorola FLEX Protocol (ASCII)</t>
  </si>
  <si>
    <t>Simple Network Paging Protocol (SNPP)</t>
  </si>
  <si>
    <t>Option to define multiple vendors that provide paging services (e.g., USA Mobility, Verizon, AT&amp;T, etc.)</t>
  </si>
  <si>
    <t>Wireless Communications Transfer Protocol (WCTP)</t>
  </si>
  <si>
    <t>Simple Mail Transfer Protocol (SMTP) for sending email messages using the Paging System interface</t>
  </si>
  <si>
    <t>Short Message Service (SMS) for sending text messages using the Paging System interface</t>
  </si>
  <si>
    <t>The Paging Interface is able to connect to an SMS service without the use of an SMTP-to-SMS gateway</t>
  </si>
  <si>
    <t>The Paging Interface requires the use of an SMTP-to-SMS gateway to connect to an SMS service</t>
  </si>
  <si>
    <t>Options for generating messages via the paging interface include:</t>
  </si>
  <si>
    <t>Preformatted messages generated automatically based on dispatch events</t>
  </si>
  <si>
    <t>Preformatted messages generated by user command</t>
  </si>
  <si>
    <t>Free-form messages generated by user command</t>
  </si>
  <si>
    <t>Free-form messages generated automatically based on scheduled events</t>
  </si>
  <si>
    <t>Free-form messages can be initiated using different options, including:</t>
  </si>
  <si>
    <t>CAD Command Line</t>
  </si>
  <si>
    <t>Mobile Computer Application</t>
  </si>
  <si>
    <t>Commercial Web browser interface</t>
  </si>
  <si>
    <t>A purpose-built graphical form with support for dropdown selection of recipients and agency-maintained canned messages is included</t>
  </si>
  <si>
    <t>End-user access to paging functions is managed through the standard application security model</t>
  </si>
  <si>
    <t>Supported Paging, Text and Email Recipients, including:</t>
  </si>
  <si>
    <t>Individual Personnel by name or ID Number</t>
  </si>
  <si>
    <t>Predefined groups of Personnel by agency-assigned Group Name</t>
  </si>
  <si>
    <t>Individual Units by Unit ID (radio call sign)</t>
  </si>
  <si>
    <t>Individual Units by Alias Unit ID (e.g., task force name/ID, strike team name/ID, etc.)</t>
  </si>
  <si>
    <t>Predefined groups of Units by agency assigned Group Name</t>
  </si>
  <si>
    <t>Individual Quarters, Stations or Posts</t>
  </si>
  <si>
    <t>Predefined groups of Quarters, Stations and Posts</t>
  </si>
  <si>
    <t>All Personnel and Units currently assigned to an Incident</t>
  </si>
  <si>
    <t>All Personnel and Units currently assigned to a tactical talkgroup (based on tactical talkgroup assignment/tracking within CAD)</t>
  </si>
  <si>
    <t>All Personnel and Units within a Battalion</t>
  </si>
  <si>
    <t>All Personnel and Units within a Jurisdiction</t>
  </si>
  <si>
    <t>All Personnel and Units currently located within an identifiable geofence area</t>
  </si>
  <si>
    <t>Automatic generation of a page, text message or email can occur as an artifact of a dispatch and move-up assignments based on agency managed rules, including:</t>
  </si>
  <si>
    <t>Personnel being dispatched</t>
  </si>
  <si>
    <t>Units being dispatched</t>
  </si>
  <si>
    <t>Stations being dispatched</t>
  </si>
  <si>
    <t>The system can interface to the FirstDue emergency notification system.</t>
  </si>
  <si>
    <t>Automatic generation of a page, text message or email can occur as an artifact of Incident workflow events based on agency managed rules, including:</t>
  </si>
  <si>
    <t>Incident Location updated/changed</t>
  </si>
  <si>
    <t>Incident Type/Nature updated/changed</t>
  </si>
  <si>
    <t>Incident Priority upgraded/downgraded</t>
  </si>
  <si>
    <t>Incident Alarm Level upgraded/downgraded</t>
  </si>
  <si>
    <t>Initial and Secondary Size-Up (requires a corresponding CAD transaction)</t>
  </si>
  <si>
    <t>Different Incident Commander is assigned/declared</t>
  </si>
  <si>
    <t>Fire tactic shifts from Offensive to Defensive (requires a corresponding CAD transaction)</t>
  </si>
  <si>
    <t xml:space="preserve">Personnel Accountability Report (PAR) Request for on scene units (requires a corresponding CAD transaction that includes a timer option) </t>
  </si>
  <si>
    <t xml:space="preserve">Mayday Call (requires a corresponding CAD transaction) </t>
  </si>
  <si>
    <t>Incident is Declared Under Control</t>
  </si>
  <si>
    <t>Incident is Recalled (all responding Units are cancelled)</t>
  </si>
  <si>
    <t>Incident is Cancelled</t>
  </si>
  <si>
    <t>Automatic generation of a page, text message or email can occur as an artifact of updating facility/hospital diversion status</t>
  </si>
  <si>
    <t>The Agency can define and manage the content of each message type, including:</t>
  </si>
  <si>
    <t>Caller Details</t>
  </si>
  <si>
    <t>Supplemental Information supplied by Smart911 Interface</t>
  </si>
  <si>
    <t>Units Assigned</t>
  </si>
  <si>
    <t>Include ETA for all responding Units</t>
  </si>
  <si>
    <t>Recorded Incident Comments</t>
  </si>
  <si>
    <t>Location-based Resident Special Conditions and Rescue Needs</t>
  </si>
  <si>
    <t>Location-based Personnel Safety Warnings</t>
  </si>
  <si>
    <t>Premise Data including hazardous materials storage</t>
  </si>
  <si>
    <t>Fire Pre-plans</t>
  </si>
  <si>
    <t>Fire Hydrant Data</t>
  </si>
  <si>
    <t>Present eligible fire hydrants sorted by distance from the Incident</t>
  </si>
  <si>
    <t>Location-based Response History</t>
  </si>
  <si>
    <t>A qualifying transaction enables the transmission (or retransmission) of Incident details to an eligible recipient</t>
  </si>
  <si>
    <t>A utility is provided for scheduling future automatic generation of a page based on canned or custom messages</t>
  </si>
  <si>
    <t>The paging system is capable of sending text messages using native SMS capabilities, including:</t>
  </si>
  <si>
    <t xml:space="preserve">Generate a text message to a caller and have the caller respond with a message that includes the current coordinates for the device </t>
  </si>
  <si>
    <t>The coordinates received from the SMS device are added to the CAD Incident record and can be use to update the Incident location</t>
  </si>
  <si>
    <t>Generate a text message to telephone numbers that appear in CAD Incident and other records, forms and resource files (e.g., CAD contacts and phone directory)</t>
  </si>
  <si>
    <t>Paging transactions associated with an Incident and/or Unit are recorded in the respective Incident and Unit records</t>
  </si>
  <si>
    <t>A utility enables personnel to update the portion of their profile record that defined available notification devices</t>
  </si>
  <si>
    <t>An Audit Log of all paging activity is available to authorized system administrators</t>
  </si>
  <si>
    <t>The Paging Audit Log includes, but is not limited to:</t>
  </si>
  <si>
    <t>Pending Messages</t>
  </si>
  <si>
    <t xml:space="preserve">The selected vendor schedules and completes interface testing with the City and PageGate in advance of go-live </t>
  </si>
  <si>
    <t>An interface with a PageGate or other commercial paging system that supports the features described here is in production and is being used by at least one client for the past year</t>
  </si>
  <si>
    <t>PICTOMETRY</t>
  </si>
  <si>
    <t>The CAD mapping system integrates seamlessly with current version of Pictometry.</t>
  </si>
  <si>
    <t>Ability to support a one-way interface between the CAD application and Pictometry.</t>
  </si>
  <si>
    <t>The system supports the integration of CAD event data with Pictometry orthogonal views.</t>
  </si>
  <si>
    <t>The system supports the integration of CAD event data with Pictometry oblique views.</t>
  </si>
  <si>
    <t>The mobile data mapping system integrates seamlessly with current version of Pictometry.</t>
  </si>
  <si>
    <t>The mobile data devices interface utilizes web based version of Pictometry to reduce bandwidth.</t>
  </si>
  <si>
    <t>The system allows the Pictometry images to be viewed as a map layer along with other GIS layers.</t>
  </si>
  <si>
    <t>The system provides Pictometry with coordinate information to display the appropriate locations.</t>
  </si>
  <si>
    <t>Ability to transfer incident location to Pictometry upon verification of an incident location.</t>
  </si>
  <si>
    <t>When the Pictometry interface is provided, the system is sized with sufficient data storage and processor capabilities</t>
  </si>
  <si>
    <t>The system provides the ability to automatically launch the Pictometry application upon initiation of a call for service.</t>
  </si>
  <si>
    <t>Ability to transfer incident location updates to Pictometry view.</t>
  </si>
  <si>
    <t>Ability to enter an address on the CAD map and have that point viewed in the Pictometry application.</t>
  </si>
  <si>
    <t xml:space="preserve">The system provides the ability to pan Pictometry the same as the CAD map display. </t>
  </si>
  <si>
    <t xml:space="preserve">Ability to access the Pictometry menu options from within the CAD software. </t>
  </si>
  <si>
    <t>Ability to click on a location on the CAD map and have that point viewed in the Pictometry application.</t>
  </si>
  <si>
    <t>The system supports the calculation and display of Pictometry measurement capabilities, e.g., height, distance, angles, location).</t>
  </si>
  <si>
    <t>The system supports the use of Pictometry annotation tools.</t>
  </si>
  <si>
    <t>PROSECUTOR</t>
  </si>
  <si>
    <t>The system can provide a bi-direcitonal interface to the City Prosecutor's Judicial Dialog Systems Case Management System.</t>
  </si>
  <si>
    <t>The proposal includes an interface to support interactions between the Records Management System and the City's Prosecutor Case Management system to support:
  •  Publish a Criminal Complaint “package” from RMS for consumption by the Prosecutor’s system
  •  Receive and apply charging decisions in RMS that are transmitted from the Prosecutor’s system</t>
  </si>
  <si>
    <t>The ability to share criminal complaint data and documents from the Records Management System.</t>
  </si>
  <si>
    <t>Electronic Distribution of Criminal Complaint “packages” from the Records Management System to the Judicial Dialog Prosecutor’s Case Management System.</t>
  </si>
  <si>
    <t>The system enables prosecutors to independently access select portions of the Records Management System based on secure user permissions.</t>
  </si>
  <si>
    <t>Receive and apply charging decisions in RMS that are transmitted from the Prosecutor’s system.</t>
  </si>
  <si>
    <t>PULSEPOINT</t>
  </si>
  <si>
    <t>Proposal includes pricing for extending to the City their ability to expose current CAD Incident and Unit data to PulsePoint where it can be queried at short intervals to identify new Incidents that meet the criteria for activation of the PulsePoint system</t>
  </si>
  <si>
    <t>PulsePoint only responds to CAD Incidents with a call type/nature of CARDIAC ARREST</t>
  </si>
  <si>
    <t>PulsePoint queries a CAD database at very short intervals (~5 seconds)</t>
  </si>
  <si>
    <t>To avoid the risk of potential performance issues with frequent queries of the production database, a secondary real-time replica of the production database is provided</t>
  </si>
  <si>
    <t>The PulsePoint Connect application is installed on client premises and connects to the database using ODBC and accesses the data using SQL Queries</t>
  </si>
  <si>
    <t>For cloud-hosted systems, the City prefers the secondary database be installed on City premises</t>
  </si>
  <si>
    <t>If the database is deployed using cloud service provider facilities, the cost proposal for cloud services must include unfettered query access to the secondary database</t>
  </si>
  <si>
    <t>Sufficient database documentation is provided for creation of the initial database view and also for PulsePoint to build the SQL Query and understand the structure of the data returned from the query</t>
  </si>
  <si>
    <t>There are no vendor-imposed restrictions on the City's ability to create or make changes to the database view</t>
  </si>
  <si>
    <t>The City is notified in advance and provided updated documentation for any planned changes to the database structures that impact the useability of the current database view or PulsePoint's access to RMS data</t>
  </si>
  <si>
    <t>A searchable database for access by PulsePoint is available in all operational environments</t>
  </si>
  <si>
    <t>Reasonable requests for telephone assistance received from the City or PulsePoint during the development, deployment and operation of the interface are responded to promptly</t>
  </si>
  <si>
    <t>The City is notified in advance and provided updated documentation for any planned changes to the database structures that impact the useability of the current database view or PulsePoint's remote access to RMS data</t>
  </si>
  <si>
    <t>RADIO CONSOLE</t>
  </si>
  <si>
    <t>The system provides an interface to the City's L3 Harris Radio Console solution.</t>
  </si>
  <si>
    <t xml:space="preserve">The Radio Console interface is able to provide push-to-talk radio banner messages of unit radio call signs when the field unit transmits. </t>
  </si>
  <si>
    <t>The system shall support Project 25 (P25) digital radio communications, including compatibility with P25 Phase I and Phase II trunked radio systems, to ensure interoperability with the City’s radio infrastructure.</t>
  </si>
  <si>
    <t>The push-to-talk radio banner will include, but not limited to:</t>
  </si>
  <si>
    <t>User ID</t>
  </si>
  <si>
    <t>Alias Radio ID</t>
  </si>
  <si>
    <t>Radio ID</t>
  </si>
  <si>
    <t>Date/time transmission initiated</t>
  </si>
  <si>
    <t>Date/time transmission ended</t>
  </si>
  <si>
    <t>Channel/Talk group</t>
  </si>
  <si>
    <t>On the CAD status monitor the unit transmitting over the radio will provide a visual indicator (e.g. unit color change)</t>
  </si>
  <si>
    <t>Radio conversation data can be logged into a CAD record when the unit is associated to an event.</t>
  </si>
  <si>
    <t>On activation of the radio system emergency button function, the Radio Console interface provides the unit's call sign and AVL location, if available, to the CAD system for display at all dispatch workstations.</t>
  </si>
  <si>
    <t>On activation of the radio system emergency button function, the Radio Console interface provides the unit's call sign and AVL location, if available, to the CAD system for display to the mobile data users.</t>
  </si>
  <si>
    <t>The system provides the ability to automatically assign a person to a radio ID when that person signs onto a CAD unit affiliated with that radio ID.</t>
  </si>
  <si>
    <t>The system provides the ability to manually assign staff alias radio IDs when assigned to CAD units.</t>
  </si>
  <si>
    <t>The system supports radio alias synchronization with the Motorola radio system to avoid duplicate maintenance of radio IDs.</t>
  </si>
  <si>
    <t>The system is able to send alerts and alarms over the radio.</t>
  </si>
  <si>
    <t>The system is able to display and search for radio assignment information.</t>
  </si>
  <si>
    <t>The CAD shall have the ability to do a multi-channel select on the radio system</t>
  </si>
  <si>
    <t>The CAD shall have the ability to display channels in a group list</t>
  </si>
  <si>
    <t>The CAD shall have the ability to initiate a priority transmit</t>
  </si>
  <si>
    <t>The CAD shall have the ability to close multi-selections on the Radio system</t>
  </si>
  <si>
    <t>Radio System - Subscriber Location</t>
  </si>
  <si>
    <t>The system supports the ability to track radio subscriber units equipped with GPS receivers and IV&amp;D data capability when outdoors on the mapping displays.</t>
  </si>
  <si>
    <t>The system supports the ability to display the location of a field units subscriber unit and their unit with one icon.</t>
  </si>
  <si>
    <t>The system supports the ability to track a field units subscriber radio on the map once the field unit moves away from their vehicle using the radio GPS.</t>
  </si>
  <si>
    <t>Once the field unit moves away from the vehicle the map displays a unique icon that signifies their location and that they have left the vehicle.</t>
  </si>
  <si>
    <t>The CAD must be able to control GPS updates based upon the following:</t>
  </si>
  <si>
    <t>Emergency</t>
  </si>
  <si>
    <t>On Demand Request</t>
  </si>
  <si>
    <t>Time and /or distance traveled</t>
  </si>
  <si>
    <t>The system is be able to configure map icons by agency type.</t>
  </si>
  <si>
    <t>The CAD system is  able to provide icons on the CAD map and status monitor for a "stale" location.</t>
  </si>
  <si>
    <t xml:space="preserve">The system is able to provide icons on the CAD map and status monitor for a  no / stopped reporting location. </t>
  </si>
  <si>
    <t>The CAD must support the following when an On Demand request is made:</t>
  </si>
  <si>
    <t>Add and clarify the location availability state to the dispatcher.</t>
  </si>
  <si>
    <t>If Last Known Location was available.</t>
  </si>
  <si>
    <t>When the system is attempting to retrieve the current location from the radio unit if the system was successful or not.</t>
  </si>
  <si>
    <t>If the radio is powered Off or is unreachable.</t>
  </si>
  <si>
    <t>If the radio received invalid satellite data</t>
  </si>
  <si>
    <t xml:space="preserve">if the radio us unable to obtain GPS lock </t>
  </si>
  <si>
    <t>The system supports an indicator that notifies the dispatcher whether a radio units last known location is older than a pre-determined amount of time.</t>
  </si>
  <si>
    <t>The system provides a button to track a unit which will automatically acknowledge a unit when it goes into "Emergency" and track the unit on the map.</t>
  </si>
  <si>
    <t>The CAD system provides the ability for the dispatcher to track and follow a unit from their last known location from the emergency notification</t>
  </si>
  <si>
    <t>Mobile application and radio work together to manage the Location Tracking of the Responder and the Unit based on in-vehicle and out-of-vehicle environments.</t>
  </si>
  <si>
    <t>Responder location tracking must be offered with Android application allowing the Person to be tracked from the iOS device and GPS coordinates be sent to CAD/AVL.</t>
  </si>
  <si>
    <t>Responder location tracking must be offered with iOS application allowing the Person to be tracked from the iOS device and GPS coordinates be sent to CAD/AVL.</t>
  </si>
  <si>
    <t>When a single user is logged on to multiple devices such as a mobile data device, a hand-held (iOS or Android smart device), and a radio, the mapping icons must be managed to intelligently display the most appropriate icon based on the unit's activity.</t>
  </si>
  <si>
    <t>Both Vehicle Location and Responder Location must be visible on the mobile data map.</t>
  </si>
  <si>
    <t>Both Vehicle Location and Responder Location must be visible on Android and iOS smart devices</t>
  </si>
  <si>
    <t>Must be able to select a Responder Location icon from a Mobile Map to obtain details on the User/Unit</t>
  </si>
  <si>
    <t xml:space="preserve">Must have ability to select a responder location icon from a Handheld (iOS and Android) Map to obtain details on the unit/user. </t>
  </si>
  <si>
    <t>Must be able to activate an emergency alert from a radio that will:</t>
  </si>
  <si>
    <t>Send a notification to Dispatcher of the unit in Emergency including single touch action to display the Responder's location on the CAD map.</t>
  </si>
  <si>
    <t>Send notification to other mobile  data users of the unit in Emergency including single touch action to display the unit's location on the mobile data map.</t>
  </si>
  <si>
    <t>Send notification to handheld (iOS and Android) user of the unit in Emergency including single touch action to display the Responder's location on the handheld device's mapping.</t>
  </si>
  <si>
    <t xml:space="preserve">Send a text notification to other radio users of the unit in emergency.  </t>
  </si>
  <si>
    <t>Must be able to activate an emergency alert from a Handheld (iOS and Android) client that will:</t>
  </si>
  <si>
    <t>Send notification to dispatcher of the unit in Emergency including single touch action to display the Responders location on the CAD Map.</t>
  </si>
  <si>
    <t xml:space="preserve">Send notification to mobile data users of the unit in Emergency including single touch action to display the Unit's location on the mobile data map. </t>
  </si>
  <si>
    <t xml:space="preserve">Send notification to other handheld (iOS and Android) users of the unit in Emergency including single touch action to display the responder's location on the handheld devices map.  </t>
  </si>
  <si>
    <t>Send a text message notification to other radio users of the unit in Emergency.</t>
  </si>
  <si>
    <t>RADIO GPS</t>
  </si>
  <si>
    <t>The proposal includes pricing for a unidirectional interface to receive, log, and post GPS position reports supplied by an L3 Harris radios via the DragonForce Mapping Platform.</t>
  </si>
  <si>
    <t>The L3 Harris radios exposes GPS position reports received from any device on the radio network in a form suitable for consumption by the CAD system</t>
  </si>
  <si>
    <t>The interface receives and processes, as described below, GPS position reports supplied by the L3 Harris radios in real-time</t>
  </si>
  <si>
    <t>Each GPS position report is logged in a manner that enables a utility supplied by the vendor to replay position reports to accurately simulate all unit movements</t>
  </si>
  <si>
    <t>In addition to logging each position report as it is received, the interface supports multiple operational functions, including:</t>
  </si>
  <si>
    <t>Travel time calculations during unit recommendation</t>
  </si>
  <si>
    <t>Call center and mobile mapping displays</t>
  </si>
  <si>
    <t>Least cost routing presented to mobile units</t>
  </si>
  <si>
    <t>The mapping application manages the placement of unit and personal GPS positions in a manner that they are presented for easy identification when units and personnel are in close proximity and the icons would otherwise be stacked on top of each other</t>
  </si>
  <si>
    <t>The least cost routing display for mobile units is updated dynamically based on position reports received through the interface</t>
  </si>
  <si>
    <t>The date, time, GPS coordinates and travel speed are logged for each position report received through the interface</t>
  </si>
  <si>
    <t>Rows to be Remembered</t>
  </si>
  <si>
    <t>RAPIDSOS</t>
  </si>
  <si>
    <t>Proposal includes pricing for an interface for receiving wireless caller location and emergency information from  the RapidSOS Clearinghouse</t>
  </si>
  <si>
    <t xml:space="preserve">RapidSOS Location Information Server (LIS) </t>
  </si>
  <si>
    <t xml:space="preserve">The interface accepts location updates from the RapidSOS Location Information Server (LIS) </t>
  </si>
  <si>
    <t>Location updates are presented to the call taker in a way that makes it simple for the user to accept or reject the update</t>
  </si>
  <si>
    <t>The interface shall receive and present available RapidSOS location confidence indicators (e.g., confidence radius, source type, or accuracy metrics) to assist call takers in evaluating the reliability of location updates.</t>
  </si>
  <si>
    <t>If the call taker accepts the update from RapidSOS, the CAD system updates the Incident location with location information received from RapidSOS through the interface</t>
  </si>
  <si>
    <t>RapidSOS will query caller location until the call is entered; there is no limit on the number of location updates received from RapidSOS for an active Incident</t>
  </si>
  <si>
    <t>The interface shall support call taker control when newer RapidSOS location updates are less accurate or conflict with previously received location information, including the ability to retain prior accepted locations.</t>
  </si>
  <si>
    <t>All location reports received from RapidSOS are added to the CAD Incident record with an indication of whether the call taker accepted or rejected the update</t>
  </si>
  <si>
    <t>Unavailability or degradation of the RapidSOS interface shall not prevent call taking or incident creation, and the CAD system shall clearly indicate when RapidSOS data is unavailable or stale.</t>
  </si>
  <si>
    <t>RapidSOS Additional Data Repository (ADR)</t>
  </si>
  <si>
    <t>The interface accepts pre-entered subscriber information from the RapidSOS  Additional Data Repository (ADR)</t>
  </si>
  <si>
    <t>Subscriber information received from RapidSOS is presented to the call taker</t>
  </si>
  <si>
    <t>Subscriber information received from RapidSOS is recorded to the CAD Incident record</t>
  </si>
  <si>
    <t xml:space="preserve"> Production</t>
  </si>
  <si>
    <t>Access to RapidSOS-provided data shall be controlled by user role, and all access, viewing, acceptance, or modification of RapidSOS data shall be logged for audit purposes.</t>
  </si>
  <si>
    <t>All RapidSOS interface communications shall use secure, encrypted transport mechanisms consistent with industry cybersecurity best practices.</t>
  </si>
  <si>
    <t>Reasonable requests for telephone assistance received from the City or RapidSOS during the development, deployment and operation of the interface are responded to promptly</t>
  </si>
  <si>
    <t>An interface with RapidSOS to provide the functionality described here or similar is in production and has been used by at least one client for the past year</t>
  </si>
  <si>
    <t>The interface shall support ingestion and presentation of additional RapidSOS data elements beyond location and subscriber information as they become available, without requiring redesign of the interface.</t>
  </si>
  <si>
    <t>RIP RUN</t>
  </si>
  <si>
    <t>Rip-and-Run Interface supports agency-selectable options for determining events that trigger the printing of CAD Incident and Unit information at a fire station, including:</t>
  </si>
  <si>
    <t>FSPrint-1</t>
  </si>
  <si>
    <t xml:space="preserve">Unit's current quarters for units that are in quarters at time of assignment </t>
  </si>
  <si>
    <t>FSPrint-2</t>
  </si>
  <si>
    <t>Unit's current quarters whether in or out of quarters at time of assignment</t>
  </si>
  <si>
    <t>FSPrint-3</t>
  </si>
  <si>
    <t>Unit's current and home quarters (if they are different) for units that are in quarters at time of assignment</t>
  </si>
  <si>
    <t>FSPrint-4</t>
  </si>
  <si>
    <t xml:space="preserve">Unit's current and home quarters (if they are different) whether in or out of quarters at time of assignment </t>
  </si>
  <si>
    <t>FSPrint-5</t>
  </si>
  <si>
    <t>Unit's current quarters when returning to service</t>
  </si>
  <si>
    <t>FSPrint-6</t>
  </si>
  <si>
    <t>Unit's home quarters when returning to service</t>
  </si>
  <si>
    <t>FSPrint-7</t>
  </si>
  <si>
    <t>Unit's current and home quarters (if they are different) when returning to service</t>
  </si>
  <si>
    <t>FSPrint-8</t>
  </si>
  <si>
    <t>Unit's current quarters when the Incident is closed</t>
  </si>
  <si>
    <t>FSPrint-9</t>
  </si>
  <si>
    <t>Unit's home quarters when the Incident is closed</t>
  </si>
  <si>
    <t>FSPrint-10</t>
  </si>
  <si>
    <t>Unit's current and home quarters when the Incident is closed</t>
  </si>
  <si>
    <t>FSPrint-11</t>
  </si>
  <si>
    <t>Based on command generated by CAD and Mobile users</t>
  </si>
  <si>
    <t>The Rip-and-Run Interface supports agency-selectable options for setting the number of messages to be printed at time of assignment, including:</t>
  </si>
  <si>
    <t>FSPrint-12</t>
  </si>
  <si>
    <t>A single printout</t>
  </si>
  <si>
    <t>FSPrint-13</t>
  </si>
  <si>
    <t>One printout for each unit being assigned from that station</t>
  </si>
  <si>
    <t>FSPrint-14</t>
  </si>
  <si>
    <t>Printed messages are configurable by the agency using a utility provided with the CAD system and without vendor assistance</t>
  </si>
  <si>
    <t>FSPrint-15</t>
  </si>
  <si>
    <t>Printed messages are defined using agency-configurable HTML forms</t>
  </si>
  <si>
    <t>FSPrint-16</t>
  </si>
  <si>
    <t>CAD system configuration options are available for defining which fire stations have printers and the type (e.g., 8½x11" single sheet, 4" continuous feed "receipt", etc.)  of printer at each station</t>
  </si>
  <si>
    <t>FSPrint-17</t>
  </si>
  <si>
    <t>The format of the printed dispatch message is configurable based on printer type</t>
  </si>
  <si>
    <t>FSPrint-18</t>
  </si>
  <si>
    <t>The format of the printed dispatch message is configurable by the Agency based on the jurisdiction of the fire station</t>
  </si>
  <si>
    <t>Data available from CAD for inclusion in a Rip-and-Run message includes:</t>
  </si>
  <si>
    <t>FSPrint-19</t>
  </si>
  <si>
    <t>Incident Details</t>
  </si>
  <si>
    <t>FSPrint-20</t>
  </si>
  <si>
    <t>CAD Incident Number</t>
  </si>
  <si>
    <t>FSPrint-21</t>
  </si>
  <si>
    <t>FRMS Incident Number (if generated by CAD)</t>
  </si>
  <si>
    <t>FSPrint-22</t>
  </si>
  <si>
    <t>Time of Incident Creation</t>
  </si>
  <si>
    <t>FSPrint-23</t>
  </si>
  <si>
    <t>Time of Dispatch for Unit Receiving Printout</t>
  </si>
  <si>
    <t>FSPrint-24</t>
  </si>
  <si>
    <t>Assigned Tactical Radio Channel/Talkgroup</t>
  </si>
  <si>
    <t>FSPrint-25</t>
  </si>
  <si>
    <t>Incident Commander at Time of Printout</t>
  </si>
  <si>
    <t>FSPrint-26</t>
  </si>
  <si>
    <t>Call Type/Nature Code at time of printout</t>
  </si>
  <si>
    <t>FSPrint-27</t>
  </si>
  <si>
    <t>Full Text Translation from Call Type/Nature Code</t>
  </si>
  <si>
    <t>FSPrint-28</t>
  </si>
  <si>
    <t>Priority at time of printout</t>
  </si>
  <si>
    <t>FSPrint-29</t>
  </si>
  <si>
    <t>Alarm Level at time of printout</t>
  </si>
  <si>
    <t>FSPrint-30</t>
  </si>
  <si>
    <t>FSPrint-31</t>
  </si>
  <si>
    <t>Map or Grid Coordinates</t>
  </si>
  <si>
    <t>FSPrint-32</t>
  </si>
  <si>
    <t>Incident Full Street Address*</t>
  </si>
  <si>
    <t>FSPrint-33</t>
  </si>
  <si>
    <t>Incident Sub-address (apartment, suite, unit, etc.)</t>
  </si>
  <si>
    <t>FSPrint-34</t>
  </si>
  <si>
    <t>Incident Commonplace Name</t>
  </si>
  <si>
    <t>FSPrint-35</t>
  </si>
  <si>
    <t>Incident Location Type (e.g., residence, commercial, park, etc.)</t>
  </si>
  <si>
    <t>FSPrint-36</t>
  </si>
  <si>
    <t>Incident Cross Streets</t>
  </si>
  <si>
    <t>FSPrint-37</t>
  </si>
  <si>
    <t>Incident Latitude, Longitude and Altitude</t>
  </si>
  <si>
    <t>FSPrint-38</t>
  </si>
  <si>
    <t xml:space="preserve">Incident Jurisdiction </t>
  </si>
  <si>
    <t>FSPrint-39</t>
  </si>
  <si>
    <t>Agency</t>
  </si>
  <si>
    <t>FSPrint-40</t>
  </si>
  <si>
    <t>Division</t>
  </si>
  <si>
    <t>FSPrint-41</t>
  </si>
  <si>
    <t>Battalion</t>
  </si>
  <si>
    <t>FSPrint-42</t>
  </si>
  <si>
    <t>Response Area</t>
  </si>
  <si>
    <t>FSPrint-43</t>
  </si>
  <si>
    <t>List of Units Assigned</t>
  </si>
  <si>
    <t>FSPrint-44</t>
  </si>
  <si>
    <t>Unit ID</t>
  </si>
  <si>
    <t>FSPrint-45</t>
  </si>
  <si>
    <t>Status at time of printout</t>
  </si>
  <si>
    <t>FSPrint-46</t>
  </si>
  <si>
    <t xml:space="preserve">Time of Status </t>
  </si>
  <si>
    <t>FSPrint-47</t>
  </si>
  <si>
    <t>ETA for responding units</t>
  </si>
  <si>
    <t>FSPrint-48</t>
  </si>
  <si>
    <t>Premise Specifics</t>
  </si>
  <si>
    <t>FSPrint-49</t>
  </si>
  <si>
    <t>FSPrint-50</t>
  </si>
  <si>
    <t>FSPrint-51</t>
  </si>
  <si>
    <t>FSPrint-52</t>
  </si>
  <si>
    <t>FSPrint-53</t>
  </si>
  <si>
    <t>FSPrint-54</t>
  </si>
  <si>
    <t>FSPrint-55</t>
  </si>
  <si>
    <t>FSPrint-56</t>
  </si>
  <si>
    <t>FSPrint-57</t>
  </si>
  <si>
    <t>Call Source</t>
  </si>
  <si>
    <t>FSPrint-58</t>
  </si>
  <si>
    <t>Caller Name</t>
  </si>
  <si>
    <t>FSPrint-59</t>
  </si>
  <si>
    <t>Caller Telephone Number</t>
  </si>
  <si>
    <t>FSPrint-60</t>
  </si>
  <si>
    <t>Caller Full Street Address*</t>
  </si>
  <si>
    <t>FSPrint-61</t>
  </si>
  <si>
    <t>Caller Sub-address (apartment, suite, unit, etc.)</t>
  </si>
  <si>
    <t>FSPrint-62</t>
  </si>
  <si>
    <t>*Full Address consists of the following elements:</t>
  </si>
  <si>
    <t>FSPrint-63</t>
  </si>
  <si>
    <t>House Number</t>
  </si>
  <si>
    <t>FSPrint-64</t>
  </si>
  <si>
    <t>Prefix Direction</t>
  </si>
  <si>
    <t>FSPrint-65</t>
  </si>
  <si>
    <t>Prefix Type</t>
  </si>
  <si>
    <t>FSPrint-66</t>
  </si>
  <si>
    <t>Street Name</t>
  </si>
  <si>
    <t>FSPrint-67</t>
  </si>
  <si>
    <t>Street Type</t>
  </si>
  <si>
    <t>FSPrint-68</t>
  </si>
  <si>
    <t>Suffix Direction</t>
  </si>
  <si>
    <t>FSPrint-69</t>
  </si>
  <si>
    <t>County</t>
  </si>
  <si>
    <t>FSPrint-70</t>
  </si>
  <si>
    <t>City</t>
  </si>
  <si>
    <t>FSPrint-71</t>
  </si>
  <si>
    <t>State</t>
  </si>
  <si>
    <t>FSPrint-72</t>
  </si>
  <si>
    <t>ZIP Code</t>
  </si>
  <si>
    <t>FSPrint-73</t>
  </si>
  <si>
    <t>FSPrint-74</t>
  </si>
  <si>
    <t>FSPrint-75</t>
  </si>
  <si>
    <t>FSPrint-76</t>
  </si>
  <si>
    <t>FSPrint-77</t>
  </si>
  <si>
    <t>FSPrint-78</t>
  </si>
  <si>
    <t>FSPrint-79</t>
  </si>
  <si>
    <t>FSPrint-80</t>
  </si>
  <si>
    <t>FSPrint-81</t>
  </si>
  <si>
    <t xml:space="preserve">The selected vendor schedules and completes interface testing with the City and FSA in advance of go live </t>
  </si>
  <si>
    <t>FSPrint-82</t>
  </si>
  <si>
    <t>FSPrint-83</t>
  </si>
  <si>
    <t>A configurable rip-and-run printer interface, as described here, is in production and is being used by at least one client for the past year</t>
  </si>
  <si>
    <t>Smart911</t>
  </si>
  <si>
    <t>Smart911-1</t>
  </si>
  <si>
    <t>Proposal includes pricing for a bidirectional interface with Smart911 to receive supplemental citizen-supplied person and premise information</t>
  </si>
  <si>
    <t>Smart911-2</t>
  </si>
  <si>
    <t>As a prerequisite, Smart911 will have installed a Smart911 CPE server on the City’s premises to monitor the ALI stream supplied by the 9-1-1 system</t>
  </si>
  <si>
    <t>The workflow of the Smart911 system includes:</t>
  </si>
  <si>
    <t>Smart911-3</t>
  </si>
  <si>
    <t>Parsing the 9-1-1 ALI record</t>
  </si>
  <si>
    <t>Smart911-4</t>
  </si>
  <si>
    <t>Querying the remote Smart911 Enhanced ALI Database Server (EADS)</t>
  </si>
  <si>
    <t>Smart911-5</t>
  </si>
  <si>
    <t>If a match is found, the call taker is notified through the Smart911 Console client resident on the local workstation</t>
  </si>
  <si>
    <t>Smart911-6</t>
  </si>
  <si>
    <t>If a match is found, Smart911 also sends a message to the CAD system through the Smart911 interface</t>
  </si>
  <si>
    <t>Smart911-7</t>
  </si>
  <si>
    <t>When the CAD system is notified of a match to records in the Smart911 database, an obvious but  non-intrusive message is displayed to the call taker</t>
  </si>
  <si>
    <t>Smart911-8</t>
  </si>
  <si>
    <t>The fact that a match was discovered is recorded to the CAD incident record along with the URL supplied in the nutrification message received from Smart911</t>
  </si>
  <si>
    <t>Smart911-9</t>
  </si>
  <si>
    <t>When the user selects the button or other graphical feature associated with the notification message, a query of the Smart911 system is initiated by the interface using the URL supplied by Smart911</t>
  </si>
  <si>
    <t>Smart911-10</t>
  </si>
  <si>
    <t>In response to the query transaction from CAD, the Smart911 client application is given focus and the information available from the Enhanced ALI Database Server (EADS).is displayed in a Smart911 Console at the client workstation; it is not displayed in CAD</t>
  </si>
  <si>
    <t>Smart911-11</t>
  </si>
  <si>
    <t>If the full record is available from Smart911, it is imported and recorded in the CAD Incident record</t>
  </si>
  <si>
    <t>Smart911-12</t>
  </si>
  <si>
    <t>or, the call taker is able to cut-and-paste the information displayed in the Smart911 client application into the CAD Incident record</t>
  </si>
  <si>
    <t>Smart911-13</t>
  </si>
  <si>
    <t>A button or other graphical feature is added to the CAD Incident form when a matching Smart911 record has been found that enables the call taker or dispatcher to easily reinitiate the Smart911 database query</t>
  </si>
  <si>
    <t>Smart911-14</t>
  </si>
  <si>
    <t>Smart911-15</t>
  </si>
  <si>
    <t>The audit log documents all messages transmitted between CAD and Smart911</t>
  </si>
  <si>
    <t>Smart911-16</t>
  </si>
  <si>
    <t>Smart911-17</t>
  </si>
  <si>
    <t>Smart911-18</t>
  </si>
  <si>
    <t>Smart911-19</t>
  </si>
  <si>
    <t>Smart911-20</t>
  </si>
  <si>
    <t>Smart911-21</t>
  </si>
  <si>
    <t>Smart911-22</t>
  </si>
  <si>
    <t>Extremely Advantageous</t>
  </si>
  <si>
    <t xml:space="preserve">The selected vendor schedules and completes interface testing with the City and Smart911 in advance of go-live </t>
  </si>
  <si>
    <t>Smart911-23</t>
  </si>
  <si>
    <t>Smart911-24</t>
  </si>
  <si>
    <t>An interface with Smart911 that supports the features described here is in production and is being used by at least one client for the past year</t>
  </si>
  <si>
    <t>Traffic</t>
  </si>
  <si>
    <t>Traffic-1</t>
  </si>
  <si>
    <t>Proposal includes pricing for an interface to produce and submit an extract of crash data to the Winchester Transportation, Engineering and Development (TED) department</t>
  </si>
  <si>
    <t>Traffic-2</t>
  </si>
  <si>
    <t>An extract of select data from each approved Traffic Collision Report that involves an injury or fatality is submitted electronically to the Winchester TED</t>
  </si>
  <si>
    <t>Traffic-3</t>
  </si>
  <si>
    <t>The Winchester Police Department manages business rules for the programmatic identification of qualifying reports to be shared with the Winchester TED</t>
  </si>
  <si>
    <t>Traffic-4</t>
  </si>
  <si>
    <t>A feature is provided to exclude individual report(s) from being shared with the Winchester TED</t>
  </si>
  <si>
    <t>Traffic-5</t>
  </si>
  <si>
    <t>The frequency the extract is published is established and maintained by the City without vendor support</t>
  </si>
  <si>
    <t>Traffic-6</t>
  </si>
  <si>
    <t>If needed, the City will provide and configure space on their Secure FTP server for posting data that qualify for export to the Winchester TED</t>
  </si>
  <si>
    <t>Traffic-7</t>
  </si>
  <si>
    <t>Traffic Collision Report data is delivered using Extensible Markup Language (XML) documents</t>
  </si>
  <si>
    <t>Traffic-8</t>
  </si>
  <si>
    <t>Alternative file formats -- Excel (.xls), comma-separated values (.csv), flat file (.txt) or Microsoft Access file (.mdb) -- can be supported, if requested</t>
  </si>
  <si>
    <t>Traffic-9</t>
  </si>
  <si>
    <t>Traffic-10</t>
  </si>
  <si>
    <t>Traffic-11</t>
  </si>
  <si>
    <t>Traffic-12</t>
  </si>
  <si>
    <t>Traffic-13</t>
  </si>
  <si>
    <t>Traffic-14</t>
  </si>
  <si>
    <t>Traffic-15</t>
  </si>
  <si>
    <t>Traffic-16</t>
  </si>
  <si>
    <t>Traffic-17</t>
  </si>
  <si>
    <t>Traffic-18</t>
  </si>
  <si>
    <t>Traffic-19</t>
  </si>
  <si>
    <t>Traffic-20</t>
  </si>
  <si>
    <t>Traffic-21</t>
  </si>
  <si>
    <t>Traffic-22</t>
  </si>
  <si>
    <t>Traffic-23</t>
  </si>
  <si>
    <t>Traffic-24</t>
  </si>
  <si>
    <t>A standard, configurable publisher of traffic collision data, as described here, is in production and is being used by at least one client for the past year</t>
  </si>
  <si>
    <t>The proposal includes pricing for a bidirectional interface that provides authorized users access to the Virginia Criminal Information Network (VCIN) network operated by the Virginia State Police for querying and updating state and national “hot files” and accessing other communications features of VCIN.</t>
  </si>
  <si>
    <t>The VCIN interface for query is available from within all of the system's core components:</t>
  </si>
  <si>
    <t>CAD</t>
  </si>
  <si>
    <t>Mobile Data</t>
  </si>
  <si>
    <t>LERMS</t>
  </si>
  <si>
    <t>Handheld Devices</t>
  </si>
  <si>
    <t>VCIN Interface supports transactions with multiple criminal justice systems accessible through the VCIN network, including:</t>
  </si>
  <si>
    <t>VCIN Computerized Hot Files (CHF)</t>
  </si>
  <si>
    <t>VCIN Informational Files</t>
  </si>
  <si>
    <t>Virgina DMV (Driver's and Vehicle Services)</t>
  </si>
  <si>
    <t>National Crime Information Center (NCIC) Files and Systems</t>
  </si>
  <si>
    <t>National Law Enforcement Telecommunications System (NLETS) Interfaced Systems and Services</t>
  </si>
  <si>
    <t>Administrative Messaging</t>
  </si>
  <si>
    <t>VCIN Help Files</t>
  </si>
  <si>
    <t>Federated Query</t>
  </si>
  <si>
    <t>The system provides federated query functionality which allows the user to submit a single search request and retrieve results from multiple databases.</t>
  </si>
  <si>
    <t>Federated query functionality does not require the user to log into multiple databases.</t>
  </si>
  <si>
    <t>The systems federated query functionality utilizes extensible architecture allowing future growth (adding additional databases later). later.</t>
  </si>
  <si>
    <t>Intermediate host and service brokers are used to send/coordinate query requests and receive results.</t>
  </si>
  <si>
    <t>The federated query functionality uses Open Justice Broker Consortium (OJBC) developed standards.</t>
  </si>
  <si>
    <t>The federated query functionality uses a web portal for secure access.</t>
  </si>
  <si>
    <t>The federated query functionality utilizes entity resolution that analyzes search results before they are returned to the user.</t>
  </si>
  <si>
    <t>The system provides for basic searches.</t>
  </si>
  <si>
    <t>The system provides for advanced searches.</t>
  </si>
  <si>
    <t>The system allows access to federated query based on user defined security requirements.</t>
  </si>
  <si>
    <t>The system requires the vendor to manage databases attached to a federated query.</t>
  </si>
  <si>
    <t>The system allows an authorized local user to manage databases attached to a federated query.</t>
  </si>
  <si>
    <t>A single query can be conducted by a user on a subjects name and get all associated contacts with that name across all public safety systems.</t>
  </si>
  <si>
    <t>A single query can be conducted by a user on a address or location and get all associated contacts with that address or location across all public safety systems.</t>
  </si>
  <si>
    <t>The following types of databases can be queried:</t>
  </si>
  <si>
    <t>Criminal History (CAD only)</t>
  </si>
  <si>
    <t>Warrant Information</t>
  </si>
  <si>
    <t>Investigative Case Information</t>
  </si>
  <si>
    <t>Inmate Records</t>
  </si>
  <si>
    <t>Booking and Arrest Records</t>
  </si>
  <si>
    <t>Firearms Registration</t>
  </si>
  <si>
    <t>Law Enforcement RMS</t>
  </si>
  <si>
    <t>Court Case Management</t>
  </si>
  <si>
    <t>Juvenile History</t>
  </si>
  <si>
    <t>Civil Process</t>
  </si>
  <si>
    <t xml:space="preserve">Driver History </t>
  </si>
  <si>
    <t>Municipal Enterprise Resource Planning (ERP)</t>
  </si>
  <si>
    <t>Regional Law Enforcement Databases (e.g. gang, drug, LiNX)</t>
  </si>
  <si>
    <t>Credit Reporting</t>
  </si>
  <si>
    <t>Temporary Protection Orders</t>
  </si>
  <si>
    <t>The federated query functionality supports an audit log of each transaction performed.</t>
  </si>
  <si>
    <t>Date of query</t>
  </si>
  <si>
    <t>Time of query</t>
  </si>
  <si>
    <t>User ID of person requesting query</t>
  </si>
  <si>
    <t>Databases queried</t>
  </si>
  <si>
    <t>Master Name Search</t>
  </si>
  <si>
    <t>The system provides the ability for a user to search master name and retrieve results back from CAD and LERMS.</t>
  </si>
  <si>
    <t>The system provides the ability for a CAD, mobile data or LERMS user to search master name and retrieve results back from CAD and LERMS</t>
  </si>
  <si>
    <t>Ability to provide user searching master name with a list of potential existing master name records based on a variety of criteria.</t>
  </si>
  <si>
    <t>VCIN and Federated Query Interface supports querying all accessible Criminal Justice Information Systems, including:</t>
  </si>
  <si>
    <t>Wanted Persons Files (State, NCIC and NLETS for Canadian files)</t>
  </si>
  <si>
    <t>Missing and Unidentified Persons Files (State and NCIC)</t>
  </si>
  <si>
    <t>Sex Offenders</t>
  </si>
  <si>
    <t>Gang Members</t>
  </si>
  <si>
    <t>Stolen/Felony  Vehicle  Files (State, NCIC and NLETS for Canadian files)</t>
  </si>
  <si>
    <t>Stolen Vehicle Parts Files (State and NCIC)</t>
  </si>
  <si>
    <t>Lost and Stolen License Plate Files (State and NCIC)</t>
  </si>
  <si>
    <t>Towed and Impounded Vehicles File (State only)</t>
  </si>
  <si>
    <t>Automated  Firearms Files (State and NCIC)</t>
  </si>
  <si>
    <t>Automated Property Files (State, NCIC and NLETS for Canadian files)</t>
  </si>
  <si>
    <t>Automated Boat Files (State and NCIC)</t>
  </si>
  <si>
    <t>Stolen Security Files (State and NCIC)</t>
  </si>
  <si>
    <t>Protection Orders Files (State and NCIC)</t>
  </si>
  <si>
    <t>National Sex Offender Registry File Query (NCIC only)</t>
  </si>
  <si>
    <t>Violent Gang and Terrorist Organizations File Query (NCIC only)</t>
  </si>
  <si>
    <t>U.S. Secret Service Protective Files Query (NCIC only)</t>
  </si>
  <si>
    <t>Foreign Fugitive File Query (NCIC only)</t>
  </si>
  <si>
    <t>Immigration Violator File Query (NCIC only)</t>
  </si>
  <si>
    <t>Supervised Release Files Query (NCIC only)</t>
  </si>
  <si>
    <t>Interstate Identification Index (III) Query (NCIC for CAD only)</t>
  </si>
  <si>
    <t>Interstate Concealed Weapons Query (NLETS only)</t>
  </si>
  <si>
    <t>Criminal History Query (State and NLETS for Interstate files from CAD only)</t>
  </si>
  <si>
    <t>Law Enforcement Information Sharing Service (LEISS) Query (NLETS only)</t>
  </si>
  <si>
    <t>Immigration Alien (LESC) Query (NLETS only)</t>
  </si>
  <si>
    <t>VCIN Interface supports querying all accessible Driver's Licensing and Vehicle/Conveyance Registration databases, including:</t>
  </si>
  <si>
    <t>Driver’s License Files Query (State and NLETS for Interstate and Canadian files)</t>
  </si>
  <si>
    <t>Vehicle Registration Files Query (State and NLETS for Interstate and Canadian files)</t>
  </si>
  <si>
    <t>Vehicle Title Files Query (State only)</t>
  </si>
  <si>
    <t>Boat Registration Files Query (State only)</t>
  </si>
  <si>
    <t>Snowmobile Registration Files Query (State only)</t>
  </si>
  <si>
    <t>Aircraft Registration Query (NLETS only)</t>
  </si>
  <si>
    <t>VCIN Interface supports querying all accessible support systems, including:</t>
  </si>
  <si>
    <t>Hazardous Materials Query (NLETS only)</t>
  </si>
  <si>
    <t>Lojack Query (NLETS only)</t>
  </si>
  <si>
    <t>Highway Conditions Query (State only)</t>
  </si>
  <si>
    <t>VCIN Interface supports multiple methods for generating queries, including:</t>
  </si>
  <si>
    <t>Comprehensive catalogue of Proposer-provided, client-maintained query forms</t>
  </si>
  <si>
    <t>Free-form entry using the CAD Command Line</t>
  </si>
  <si>
    <t>Automatic generation of Vehicle Registration query as an artifact of a Traffic Stop or other CAD transaction that includes space for a vehicle license plate</t>
  </si>
  <si>
    <t>Free-form entry using the Mobile application Command Line</t>
  </si>
  <si>
    <t>Using voice command technology native to the Mobile application</t>
  </si>
  <si>
    <t>Using data decoded from driver's licenses, vehicle registrations and evidence of insurance documents that follow the American Association of Motor Vehicle Administrators (AAMVA) 2D barcode standard</t>
  </si>
  <si>
    <t>Advanced Query Features</t>
  </si>
  <si>
    <t>Federated query: Spawn queries to multiple external systems from a single transaction</t>
  </si>
  <si>
    <t>Cascading query: A driver's license query of the registered owner is generated automatically from the response to a vehicle registration query</t>
  </si>
  <si>
    <t>Query Documentation</t>
  </si>
  <si>
    <t>Queries generated from within the CAD or Mobile environments are documented with the associated CAD Incident and/or CAD Unit records (query only; no response)</t>
  </si>
  <si>
    <t>Query Responses</t>
  </si>
  <si>
    <t>Responses are presented to the user in the same format as received from VCIN</t>
  </si>
  <si>
    <t>Responses are placed in a user-selectable queue sorted oldest-to-newest message</t>
  </si>
  <si>
    <t>If a positive match ("Hit") to a CJIS query is received, that response is moved to the top of the queue and the user is provided a priority alert</t>
  </si>
  <si>
    <t>Query Responses with a Positive Match ("Hit")</t>
  </si>
  <si>
    <t>A search of each response is performed using client-administered business rules and keywords to identify messages containing a positive match or "Hit"</t>
  </si>
  <si>
    <t xml:space="preserve">If a positive match ("Hit") to a CJIS query generated by a mobile unit is received, the controlling dispatcher is notified through a priority message or alert </t>
  </si>
  <si>
    <t>If a positive match ("Hit") to a CJIS query generated by a mobile unit, by a dispatcher on behalf of a mobile unit, or by any mobile unit on the same incident, all units assigned to the incident receive a priority notification</t>
  </si>
  <si>
    <t>The City has the option of configuring alert options for a mobile users to protect officer safety by not making the hit response action detectable to persons not in law enforcement</t>
  </si>
  <si>
    <t>Data from responses to queries of deriver's license and vehicle registration files must be easily imported into Incident, Arrest, Citation and other type of reports without reentering the data</t>
  </si>
  <si>
    <t>VCIN Interface supports transactions for  entry and update of records in those state and federal CJIS files listed above, including:</t>
  </si>
  <si>
    <t>Entry</t>
  </si>
  <si>
    <t>Modify</t>
  </si>
  <si>
    <t>Locate</t>
  </si>
  <si>
    <t>Clear</t>
  </si>
  <si>
    <t>Cancel</t>
  </si>
  <si>
    <t>VCIN Interface supports multiple methods for generating entries and updates, including:</t>
  </si>
  <si>
    <t>Comprehensive catalogue of Proposer-provided, client-maintained entry and update forms</t>
  </si>
  <si>
    <t>From within baseline Records Management System forms without requiring reentry of data needed to complete the CJIS entry or update transaction</t>
  </si>
  <si>
    <t>Entry/Update Responses</t>
  </si>
  <si>
    <t>The message received from VCIN in response to a successful enter or update transaction ca be added to the associated RMS record without manual data reentry</t>
  </si>
  <si>
    <t>VCIN Interface supports use of administrative functions available through VCIN, including:</t>
  </si>
  <si>
    <t>Administrative Message (State and NLETS for Interstate messages)</t>
  </si>
  <si>
    <t>Amber Alert Notification (NLETS only)</t>
  </si>
  <si>
    <t>Forms are provided for executing the listed administrative transactions</t>
  </si>
  <si>
    <t>VCIN Interface sets client-defined default values for select fields, including:</t>
  </si>
  <si>
    <t>State Code (VA)</t>
  </si>
  <si>
    <t>ORI</t>
  </si>
  <si>
    <t>Mnemonic (if used)</t>
  </si>
  <si>
    <t>User Identification and Credentials</t>
  </si>
  <si>
    <t>Form/Transaction Management</t>
  </si>
  <si>
    <t>In addition to a broad catalogue of Proposer-provided forms for use with all VCIN and VCIN-accessible systems, a forms management utility is required for the City to maintain the data entry forms and the VCIN transactions generated using those forms</t>
  </si>
  <si>
    <t>The City can create new forms and associated VCIN transactions</t>
  </si>
  <si>
    <t>The City can define and modify the content and layout for each form without vendor assistance</t>
  </si>
  <si>
    <t>Code table values are linked to individual fields and can be defined and modified by the City without vendor assistance</t>
  </si>
  <si>
    <t>The NCIC Code Table dictionary can be imported for setting acceptable values for data entry fields</t>
  </si>
  <si>
    <t xml:space="preserve">Conditional edits and other business logic can be incorporated into the forms to improve the accuracy of entered data </t>
  </si>
  <si>
    <t>The forms management utility also supports the maintenance of transactions performed from the CAD Command Line</t>
  </si>
  <si>
    <t>Describe here (Column D) or in an attachment, the Proposers solution for maintaining VCIN forms and transactions if a Forms Management utility is NOT included in the proposed solution</t>
  </si>
  <si>
    <t>Unsolicited Messages</t>
  </si>
  <si>
    <t>The City establishes and manages rules for routing unsolicited messages received through the VCIN Interface</t>
  </si>
  <si>
    <t>Security</t>
  </si>
  <si>
    <t xml:space="preserve">A separate logon to VCIN is not required </t>
  </si>
  <si>
    <t>If required by VCIN, the Interface will obtain the VCIN credentials from a source identified by the City for the transacting user and incorporate those in the appropriate position in VCIN messages and transactions</t>
  </si>
  <si>
    <t>The security model used in the proposed system enables a City security administrator to restrict the capabilities of each user with respect to VCIN based on a matrix, including</t>
  </si>
  <si>
    <t xml:space="preserve"> By subsystem (e.g., wanted persons, stolen securities, etc.) or transaction (e.g., Administrative Message, etc.)</t>
  </si>
  <si>
    <t>By function (e.g., query, cancel, etc.)</t>
  </si>
  <si>
    <t>Audit Logs</t>
  </si>
  <si>
    <t>All transactions to and from VCIN are logged in their entirety</t>
  </si>
  <si>
    <t>The logging of CJIS transactions conforms with and satisfies all relative provisions in the FBI CJIS Security Policy Area 4</t>
  </si>
  <si>
    <t>Journals include identification of the initiating user</t>
  </si>
  <si>
    <t>Journals include identification of both the initiating user and any secondary recipient for criminal history transactions</t>
  </si>
  <si>
    <t>Journals include identification of the initiating device</t>
  </si>
  <si>
    <t>Journals include the time and date of the transaction</t>
  </si>
  <si>
    <t>Journals are searchable and printable</t>
  </si>
  <si>
    <t>Journal storage is sufficiently sized to maintain records in an online state for a minimum of three (3) years</t>
  </si>
  <si>
    <t>VCIN Interface is available in all Operating Environments, including:</t>
  </si>
  <si>
    <t>VCIN Interface Unavailable Behaviors</t>
  </si>
  <si>
    <t>The VCIN Interface is configured to align with City preferences for responding to transactions generated while the VCIN Interface is unavailable, including:</t>
  </si>
  <si>
    <t>VCIN-141</t>
  </si>
  <si>
    <t>Reject user input and return an error message</t>
  </si>
  <si>
    <t>Accept and queue transactions until the interface is restored (store-and-forward), and return an information message that includes selectable options for processing the message</t>
  </si>
  <si>
    <t>Cancel transaction</t>
  </si>
  <si>
    <t>Return response to normal queue when available</t>
  </si>
  <si>
    <t>Forward response by internal messaging, email or other means when available</t>
  </si>
  <si>
    <t>The City can configure the time a transaction is pending while the VCIN Interface is unavailable before deleting it and notifying the originator</t>
  </si>
  <si>
    <t>The time left in queue can be set based on type of transaction (e.g., query, entry, Administrative Message, etc.)</t>
  </si>
  <si>
    <t>The selected vendor will participate in any process required to obtain certification from the Virginia State Police for a direct interface with VCIN, unless the vendor already has that certification</t>
  </si>
  <si>
    <t xml:space="preserve">The selected vendor schedules and completes interface testing with the City and VCIN in advance of go-live </t>
  </si>
  <si>
    <t>Warranty and annual extended service costs cover any modifications to the interface required to keep it operational following any update of the operating platform and/or application software without additional costs</t>
  </si>
  <si>
    <t>The Proposer has previously delivered and has in production an interface to VCIN</t>
  </si>
  <si>
    <t>Paging-4</t>
  </si>
  <si>
    <t>One-way Alphanumeric pagers</t>
  </si>
  <si>
    <t>Paging-5</t>
  </si>
  <si>
    <t>Two-way Alphanumeric pagers</t>
  </si>
  <si>
    <t>Paging-6</t>
  </si>
  <si>
    <t>Process Inbound Acknowledgement Messages</t>
  </si>
  <si>
    <t>Paging-9</t>
  </si>
  <si>
    <t>Fax Machines</t>
  </si>
  <si>
    <t>Pricing is included in the cost of the interface with the FSA Fire Station Alerting System for providing the CAD Incident and Unit data for all fire responses necessary to support a "rip-and-run" printer capability</t>
  </si>
  <si>
    <t>The system provides the ability to send the CAD incident data to Rip and Run printers remotely connected to the network.</t>
  </si>
  <si>
    <t>VCIN Interface supports querying all accessible Criminal Justice Information Systems, including: FE to go back and verify Federated Query</t>
  </si>
  <si>
    <t>VCIN-11</t>
  </si>
  <si>
    <t>Accident Victims File (State only)</t>
  </si>
  <si>
    <t>VCIN-12</t>
  </si>
  <si>
    <t>Incarcerated Persons File (State Only)</t>
  </si>
  <si>
    <t>VCIN-13</t>
  </si>
  <si>
    <t>VCIN-14</t>
  </si>
  <si>
    <t>Caution Files (State Only)</t>
  </si>
  <si>
    <t>VCIN-15</t>
  </si>
  <si>
    <t>Parolees</t>
  </si>
  <si>
    <t>VCIN-18</t>
  </si>
  <si>
    <t>Field Notifications</t>
  </si>
  <si>
    <t>VCIN-23</t>
  </si>
  <si>
    <t>Tagged Vehicles File (State only)</t>
  </si>
  <si>
    <t>VCIN-51</t>
  </si>
  <si>
    <t>State Alcohol License Operational On-Line Network Query (State only)</t>
  </si>
  <si>
    <t>VCIN-80</t>
  </si>
  <si>
    <t>Queries can be generated from within the core application (e.g., CAD, RMS, Mobile) environment without switching to a different application</t>
  </si>
  <si>
    <t>VCIN-122</t>
  </si>
  <si>
    <t>Description of Capability
CAD Interface Resource Deployment</t>
  </si>
  <si>
    <t>I-181</t>
  </si>
  <si>
    <t>System must provide a method to monitor response coverage within the Agency, and recommend unit movements to cover for gaps in response coverage (both incident and non-incident related).</t>
  </si>
  <si>
    <t>I-182</t>
  </si>
  <si>
    <t>System allows the Agency to define the business rules by which deployment recommendations are made.</t>
  </si>
  <si>
    <t>I-183</t>
  </si>
  <si>
    <t>The system will make dynamic resource deployment recommendations (real time).</t>
  </si>
  <si>
    <t>I-184</t>
  </si>
  <si>
    <t>The system will minimize the number of recommended resource movements, while optimizing resource coverage for each resource type.</t>
  </si>
  <si>
    <t>I-185</t>
  </si>
  <si>
    <t>The system will store (for potential retrieval and analysis) all information pertinent  to any recommendations made and user actions taken in via the system.</t>
  </si>
  <si>
    <t>I-186</t>
  </si>
  <si>
    <t>The system uses local map and road networks (provided in ESRI format) to create maps required for the functionality of the system.</t>
  </si>
  <si>
    <t>I-187</t>
  </si>
  <si>
    <t>The system supports the concept of multiple ‘layers of coverage capability’ based on resource type. (i.e.: A coverage layer for all transport capable units, another layer for ALS capable units, another for BLS capable units).</t>
  </si>
  <si>
    <t>I-188</t>
  </si>
  <si>
    <t>An individual resource will be able to simultaneously contribute to coverage in one or more resource types. (i.e.: an ALS Transport Unit would provide coverage in the ALS layer, the BLS layer, and the transport unit layer.).</t>
  </si>
  <si>
    <t>I-189</t>
  </si>
  <si>
    <t>The system will automatically notify the user when resource re-deployment is necessary.</t>
  </si>
  <si>
    <t>I-190</t>
  </si>
  <si>
    <t>The notice for resource redeployment will be triggered when demand coverage has fallen below a department specified threshold for a given area.</t>
  </si>
  <si>
    <t>I-191</t>
  </si>
  <si>
    <t>The system will provide a mechanism to allow the user to view the current coverage and the impact that a given re-deployment recommendation, or user specified deployment idea will have, prior to enacting or accepting the recommendation.</t>
  </si>
  <si>
    <t>I-192</t>
  </si>
  <si>
    <t>The system will permit setting up of return to service based on incident types, resource types, and resource statuses in order to avoid unnecessary move-ups.</t>
  </si>
  <si>
    <t>I-193</t>
  </si>
  <si>
    <t>The system will support the concept of resources having multiple capabilities. A particular resource may possess multiple capabilities depending on both its resource type and staff capabilities.</t>
  </si>
  <si>
    <t>I-194</t>
  </si>
  <si>
    <t>The system will utilize real-time AVL information to smartly recommend move-ups allowing more accurate predictions of coverage.</t>
  </si>
  <si>
    <t>I-195</t>
  </si>
  <si>
    <t xml:space="preserve">The system will listen to CAD system in real-time to obtain resource information including the location of resources, their status and resource type, and call type. </t>
  </si>
  <si>
    <t>I-196</t>
  </si>
  <si>
    <t>Once a user confirms and accepts a redeployment recommendation in the Move-up software, the system will relay it to the CAD.</t>
  </si>
  <si>
    <t>I-197</t>
  </si>
  <si>
    <t>The system will provide a user-friendly Graphic User Interface (GUI) operating in a standard Windows environment.</t>
  </si>
  <si>
    <t>I-198</t>
  </si>
  <si>
    <t>User inputs and actions will be user-friendly and utilize a pointing device, pull-down menus and standardized tables and forms.</t>
  </si>
  <si>
    <t>I-199</t>
  </si>
  <si>
    <t>I-200</t>
  </si>
  <si>
    <t xml:space="preserve">  </t>
  </si>
  <si>
    <t>Drones</t>
  </si>
  <si>
    <t>Proposal includes pricing for an interface to publish CAD Incident and Unit data for all EMS responses to a location where it is available for consumption by an ImageTrends system.</t>
  </si>
  <si>
    <t>Proposal includes pricing for an interface to ESO for EMS Billing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</si>
</sst>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1"/>
      <name val="Arial"/>
      <family val="2"/>
      <charset val="1"/>
    </font>
    <font>
      <sz val="11"/>
      <color rgb="FF000000"/>
      <name val="Calibri"/>
      <family val="2"/>
      <charset val="1"/>
    </font>
    <font>
      <sz val="11"/>
      <color rgb="FFFFFFFF"/>
      <name val="Calibri"/>
      <family val="2"/>
      <charset val="1"/>
    </font>
    <font>
      <sz val="11"/>
      <color rgb="FF800080"/>
      <name val="Calibri"/>
      <family val="2"/>
      <charset val="1"/>
    </font>
    <font>
      <b/>
      <sz val="11"/>
      <color rgb="FFFF9900"/>
      <name val="Calibri"/>
      <family val="2"/>
      <charset val="1"/>
    </font>
    <font>
      <b/>
      <sz val="11"/>
      <color rgb="FFFFFFFF"/>
      <name val="Calibri"/>
      <family val="2"/>
      <charset val="1"/>
    </font>
    <font>
      <i/>
      <sz val="11"/>
      <color rgb="FF808080"/>
      <name val="Calibri"/>
      <family val="2"/>
      <charset val="1"/>
    </font>
    <font>
      <sz val="11"/>
      <color rgb="FF008000"/>
      <name val="Calibri"/>
      <family val="2"/>
      <charset val="1"/>
    </font>
    <font>
      <b/>
      <sz val="15"/>
      <color rgb="FF003366"/>
      <name val="Calibri"/>
      <family val="2"/>
      <charset val="1"/>
    </font>
    <font>
      <b/>
      <sz val="13"/>
      <color rgb="FF003366"/>
      <name val="Calibri"/>
      <family val="2"/>
      <charset val="1"/>
    </font>
    <font>
      <b/>
      <sz val="11"/>
      <color rgb="FF003366"/>
      <name val="Calibri"/>
      <family val="2"/>
      <charset val="1"/>
    </font>
    <font>
      <sz val="11"/>
      <color rgb="FF333399"/>
      <name val="Calibri"/>
      <family val="2"/>
      <charset val="1"/>
    </font>
    <font>
      <sz val="11"/>
      <color rgb="FFFF9900"/>
      <name val="Calibri"/>
      <family val="2"/>
      <charset val="1"/>
    </font>
    <font>
      <sz val="11"/>
      <color rgb="FF993300"/>
      <name val="Calibri"/>
      <family val="2"/>
      <charset val="1"/>
    </font>
    <font>
      <sz val="11"/>
      <color theme="1"/>
      <name val="Cambria"/>
      <family val="2"/>
      <charset val="1"/>
    </font>
    <font>
      <sz val="10"/>
      <name val="Arial"/>
      <family val="2"/>
      <charset val="1"/>
    </font>
    <font>
      <sz val="11"/>
      <name val="Times New Roman"/>
      <family val="1"/>
      <charset val="1"/>
    </font>
    <font>
      <sz val="11"/>
      <color theme="1"/>
      <name val="Arial"/>
      <family val="2"/>
      <charset val="1"/>
    </font>
    <font>
      <b/>
      <sz val="11"/>
      <color rgb="FF333333"/>
      <name val="Calibri"/>
      <family val="2"/>
      <charset val="1"/>
    </font>
    <font>
      <b/>
      <sz val="18"/>
      <color rgb="FF003366"/>
      <name val="Cambria"/>
      <family val="2"/>
      <charset val="1"/>
    </font>
    <font>
      <b/>
      <sz val="11"/>
      <color rgb="FF000000"/>
      <name val="Calibri"/>
      <family val="2"/>
      <charset val="1"/>
    </font>
    <font>
      <sz val="11"/>
      <color rgb="FFFF0000"/>
      <name val="Calibri"/>
      <family val="2"/>
      <charset val="1"/>
    </font>
    <font>
      <sz val="11"/>
      <color rgb="FFFF0000"/>
      <name val="Arial"/>
      <family val="2"/>
      <charset val="1"/>
    </font>
    <font>
      <b/>
      <sz val="20"/>
      <color rgb="FFFFFFFF"/>
      <name val="Arial"/>
      <family val="2"/>
      <charset val="1"/>
    </font>
    <font>
      <b/>
      <sz val="16"/>
      <name val="Arial"/>
      <family val="2"/>
      <charset val="1"/>
    </font>
    <font>
      <sz val="16"/>
      <name val="Arial"/>
      <family val="2"/>
      <charset val="1"/>
    </font>
    <font>
      <b/>
      <sz val="10"/>
      <name val="Arial"/>
      <family val="2"/>
      <charset val="1"/>
    </font>
    <font>
      <b/>
      <sz val="18"/>
      <name val="Arial"/>
      <family val="2"/>
      <charset val="1"/>
    </font>
    <font>
      <b/>
      <sz val="11"/>
      <name val="Arial"/>
      <family val="2"/>
      <charset val="1"/>
    </font>
    <font>
      <b/>
      <sz val="10"/>
      <color rgb="FFC00000"/>
      <name val="Arial"/>
      <family val="2"/>
      <charset val="1"/>
    </font>
    <font>
      <sz val="10"/>
      <color rgb="FF00B050"/>
      <name val="Arial"/>
      <family val="2"/>
      <charset val="1"/>
    </font>
    <font>
      <sz val="10"/>
      <color rgb="FFFF0000"/>
      <name val="Arial"/>
      <family val="2"/>
      <charset val="1"/>
    </font>
    <font>
      <b/>
      <sz val="11"/>
      <color rgb="FF7030A0"/>
      <name val="Arial"/>
      <family val="2"/>
      <charset val="1"/>
    </font>
    <font>
      <b/>
      <sz val="10"/>
      <color rgb="FF7030A0"/>
      <name val="Arial"/>
      <family val="2"/>
      <charset val="1"/>
    </font>
    <font>
      <sz val="10"/>
      <color rgb="FF7030A0"/>
      <name val="Arial"/>
      <family val="2"/>
      <charset val="1"/>
    </font>
    <font>
      <b/>
      <sz val="11"/>
      <color rgb="FFC00000"/>
      <name val="Times New Roman"/>
      <family val="1"/>
      <charset val="1"/>
    </font>
    <font>
      <b/>
      <sz val="11"/>
      <color rgb="FF002060"/>
      <name val="Arial"/>
      <family val="2"/>
      <charset val="1"/>
    </font>
    <font>
      <b/>
      <sz val="10"/>
      <color rgb="FF002060"/>
      <name val="Arial"/>
      <family val="2"/>
      <charset val="1"/>
    </font>
    <font>
      <sz val="10"/>
      <color rgb="FF002060"/>
      <name val="Arial"/>
      <family val="2"/>
      <charset val="1"/>
    </font>
    <font>
      <b/>
      <sz val="11"/>
      <color rgb="FFC00000"/>
      <name val="Arial"/>
      <family val="2"/>
      <charset val="1"/>
    </font>
    <font>
      <sz val="10"/>
      <color rgb="FFC00000"/>
      <name val="Arial"/>
      <family val="2"/>
      <charset val="1"/>
    </font>
    <font>
      <b/>
      <sz val="12"/>
      <name val="Arial"/>
      <family val="2"/>
      <charset val="1"/>
    </font>
    <font>
      <sz val="12"/>
      <name val="Arial Narrow"/>
      <family val="2"/>
      <charset val="1"/>
    </font>
    <font>
      <b/>
      <sz val="12"/>
      <color theme="0"/>
      <name val="Arial Narrow"/>
      <family val="2"/>
      <charset val="1"/>
    </font>
    <font>
      <b/>
      <i/>
      <sz val="12"/>
      <color theme="0"/>
      <name val="Arial Narrow"/>
      <family val="2"/>
      <charset val="1"/>
    </font>
    <font>
      <b/>
      <sz val="12"/>
      <name val="Arial Narrow"/>
      <family val="2"/>
      <charset val="1"/>
    </font>
    <font>
      <b/>
      <sz val="12"/>
      <color rgb="FFC00000"/>
      <name val="Arial Narrow"/>
      <family val="2"/>
      <charset val="1"/>
    </font>
    <font>
      <b/>
      <sz val="12"/>
      <color theme="4"/>
      <name val="Arial Narrow"/>
      <family val="2"/>
      <charset val="1"/>
    </font>
    <font>
      <sz val="12"/>
      <color rgb="FFFF0000"/>
      <name val="Arial Narrow"/>
      <family val="2"/>
      <charset val="1"/>
    </font>
    <font>
      <sz val="12"/>
      <color rgb="FF00B050"/>
      <name val="Arial Narrow"/>
      <family val="2"/>
      <charset val="1"/>
    </font>
    <font>
      <b/>
      <sz val="12"/>
      <color theme="1"/>
      <name val="Arial Narrow"/>
      <family val="2"/>
      <charset val="1"/>
    </font>
    <font>
      <sz val="12"/>
      <color theme="4"/>
      <name val="Arial Narrow"/>
      <family val="2"/>
      <charset val="1"/>
    </font>
    <font>
      <sz val="11"/>
      <name val="Arial Narrow"/>
      <family val="2"/>
      <charset val="1"/>
    </font>
    <font>
      <sz val="12"/>
      <color theme="1"/>
      <name val="Arial Narrow"/>
      <family val="2"/>
      <charset val="1"/>
    </font>
    <font>
      <b/>
      <sz val="11"/>
      <color theme="1"/>
      <name val="Arial Narrow"/>
      <family val="2"/>
      <charset val="1"/>
    </font>
    <font>
      <b/>
      <sz val="12"/>
      <color rgb="FFFF0000"/>
      <name val="Arial Narrow"/>
      <family val="2"/>
      <charset val="1"/>
    </font>
    <font>
      <b/>
      <sz val="10"/>
      <name val="Arial Narrow"/>
      <family val="2"/>
      <charset val="1"/>
    </font>
    <font>
      <sz val="11"/>
      <color theme="4"/>
      <name val="Arial Narrow"/>
      <family val="2"/>
      <charset val="1"/>
    </font>
    <font>
      <b/>
      <sz val="11"/>
      <color theme="0"/>
      <name val="Arial Narrow"/>
      <family val="2"/>
      <charset val="1"/>
    </font>
    <font>
      <b/>
      <sz val="11"/>
      <name val="Arial Narrow"/>
      <family val="2"/>
      <charset val="1"/>
    </font>
    <font>
      <b/>
      <sz val="11"/>
      <color rgb="FFC00000"/>
      <name val="Arial Narrow"/>
      <family val="2"/>
      <charset val="1"/>
    </font>
    <font>
      <sz val="11"/>
      <color rgb="FFFF0000"/>
      <name val="Arial Narrow"/>
      <family val="2"/>
      <charset val="1"/>
    </font>
    <font>
      <b/>
      <sz val="11"/>
      <color rgb="FFFF0000"/>
      <name val="Arial Narrow"/>
      <family val="2"/>
      <charset val="1"/>
    </font>
    <font>
      <sz val="11"/>
      <color theme="1"/>
      <name val="Arial Narrow"/>
      <family val="2"/>
      <charset val="1"/>
    </font>
    <font>
      <sz val="12"/>
      <color rgb="FFC00000"/>
      <name val="Arial Narrow"/>
      <family val="2"/>
      <charset val="1"/>
    </font>
    <font>
      <sz val="12"/>
      <name val="Arial"/>
      <family val="2"/>
      <charset val="1"/>
    </font>
    <font>
      <sz val="11"/>
      <name val="Arial"/>
      <family val="2"/>
      <charset val="1"/>
    </font>
    <font>
      <sz val="12"/>
      <name val="Arial Narrow"/>
      <family val="2"/>
    </font>
    <font>
      <b/>
      <sz val="12"/>
      <color theme="0"/>
      <name val="Arial Narrow"/>
      <family val="2"/>
    </font>
    <font>
      <b/>
      <i/>
      <sz val="12"/>
      <color theme="0"/>
      <name val="Arial Narrow"/>
      <family val="2"/>
    </font>
    <font>
      <b/>
      <sz val="12"/>
      <name val="Arial Narrow"/>
      <family val="2"/>
    </font>
    <font>
      <b/>
      <sz val="12"/>
      <color rgb="FFC00000"/>
      <name val="Arial Narrow"/>
      <family val="2"/>
    </font>
    <font>
      <b/>
      <sz val="12"/>
      <color theme="1"/>
      <name val="Arial Narrow"/>
      <family val="2"/>
    </font>
    <font>
      <sz val="12"/>
      <color theme="4"/>
      <name val="Arial Narrow"/>
      <family val="2"/>
    </font>
    <font>
      <sz val="12"/>
      <color rgb="FFFF0000"/>
      <name val="Arial Narrow"/>
      <family val="2"/>
    </font>
  </fonts>
  <fills count="44">
    <fill>
      <patternFill patternType="none"/>
    </fill>
    <fill>
      <patternFill patternType="gray125"/>
    </fill>
    <fill>
      <patternFill patternType="solid">
        <fgColor rgb="FFCCCCFF"/>
        <bgColor rgb="FFC8E1FF"/>
      </patternFill>
    </fill>
    <fill>
      <patternFill patternType="solid">
        <fgColor rgb="FFFF99CC"/>
        <bgColor rgb="FFFFB089"/>
      </patternFill>
    </fill>
    <fill>
      <patternFill patternType="solid">
        <fgColor rgb="FFCCFFCC"/>
        <bgColor rgb="FFCCFFFF"/>
      </patternFill>
    </fill>
    <fill>
      <patternFill patternType="solid">
        <fgColor rgb="FFCC99FF"/>
        <bgColor rgb="FFFF99CC"/>
      </patternFill>
    </fill>
    <fill>
      <patternFill patternType="solid">
        <fgColor rgb="FFCCFFFF"/>
        <bgColor rgb="FFBFECFF"/>
      </patternFill>
    </fill>
    <fill>
      <patternFill patternType="solid">
        <fgColor rgb="FFFFCC99"/>
        <bgColor rgb="FFFFB089"/>
      </patternFill>
    </fill>
    <fill>
      <patternFill patternType="solid">
        <fgColor rgb="FF99CCFF"/>
        <bgColor rgb="FF9BC2E6"/>
      </patternFill>
    </fill>
    <fill>
      <patternFill patternType="solid">
        <fgColor rgb="FFFF8080"/>
        <bgColor rgb="FFFF99CC"/>
      </patternFill>
    </fill>
    <fill>
      <patternFill patternType="solid">
        <fgColor rgb="FF00FF00"/>
        <bgColor rgb="FF00B050"/>
      </patternFill>
    </fill>
    <fill>
      <patternFill patternType="solid">
        <fgColor rgb="FFFFCC00"/>
        <bgColor rgb="FFFFC000"/>
      </patternFill>
    </fill>
    <fill>
      <patternFill patternType="solid">
        <fgColor rgb="FF0066CC"/>
        <bgColor rgb="FF006AED"/>
      </patternFill>
    </fill>
    <fill>
      <patternFill patternType="solid">
        <fgColor rgb="FF800080"/>
        <bgColor rgb="FF660066"/>
      </patternFill>
    </fill>
    <fill>
      <patternFill patternType="solid">
        <fgColor rgb="FF33CCCC"/>
        <bgColor rgb="FF00B0F0"/>
      </patternFill>
    </fill>
    <fill>
      <patternFill patternType="solid">
        <fgColor rgb="FFFF9900"/>
        <bgColor rgb="FFFFC000"/>
      </patternFill>
    </fill>
    <fill>
      <patternFill patternType="solid">
        <fgColor rgb="FF333399"/>
        <bgColor rgb="FF003577"/>
      </patternFill>
    </fill>
    <fill>
      <patternFill patternType="solid">
        <fgColor rgb="FFFF0000"/>
        <bgColor rgb="FFC00000"/>
      </patternFill>
    </fill>
    <fill>
      <patternFill patternType="solid">
        <fgColor rgb="FF339966"/>
        <bgColor rgb="FF00B050"/>
      </patternFill>
    </fill>
    <fill>
      <patternFill patternType="solid">
        <fgColor rgb="FFFF6600"/>
        <bgColor rgb="FFFF4000"/>
      </patternFill>
    </fill>
    <fill>
      <patternFill patternType="solid">
        <fgColor rgb="FFC0C0C0"/>
        <bgColor rgb="FFBFBFBF"/>
      </patternFill>
    </fill>
    <fill>
      <patternFill patternType="solid">
        <fgColor rgb="FF969696"/>
        <bgColor rgb="FF808080"/>
      </patternFill>
    </fill>
    <fill>
      <patternFill patternType="solid">
        <fgColor rgb="FFFFFF99"/>
        <bgColor rgb="FFFFFFCC"/>
      </patternFill>
    </fill>
    <fill>
      <patternFill patternType="solid">
        <fgColor rgb="FFFFFFCC"/>
        <bgColor rgb="FFFFFFFF"/>
      </patternFill>
    </fill>
    <fill>
      <patternFill patternType="solid">
        <fgColor theme="0" tint="-0.14999847407452621"/>
        <bgColor rgb="FFDBDBDB"/>
      </patternFill>
    </fill>
    <fill>
      <patternFill patternType="solid">
        <fgColor theme="4" tint="0.79989013336588644"/>
        <bgColor rgb="FFBFECFF"/>
      </patternFill>
    </fill>
    <fill>
      <patternFill patternType="solid">
        <fgColor theme="0"/>
        <bgColor rgb="FFFFFFCC"/>
      </patternFill>
    </fill>
    <fill>
      <patternFill patternType="solid">
        <fgColor theme="4" tint="-0.499984740745262"/>
        <bgColor rgb="FF003366"/>
      </patternFill>
    </fill>
    <fill>
      <patternFill patternType="solid">
        <fgColor rgb="FFFFC000"/>
        <bgColor rgb="FFFFCC00"/>
      </patternFill>
    </fill>
    <fill>
      <patternFill patternType="solid">
        <fgColor rgb="FFFFFF00"/>
        <bgColor rgb="FFFFFF38"/>
      </patternFill>
    </fill>
    <fill>
      <patternFill patternType="solid">
        <fgColor rgb="FF00B0F0"/>
        <bgColor rgb="FF33CCCC"/>
      </patternFill>
    </fill>
    <fill>
      <patternFill patternType="solid">
        <fgColor rgb="FFFFFF00"/>
        <bgColor indexed="64"/>
      </patternFill>
    </fill>
    <fill>
      <patternFill patternType="solid">
        <fgColor theme="0"/>
        <bgColor rgb="FFFFFF38"/>
      </patternFill>
    </fill>
    <fill>
      <patternFill patternType="solid">
        <fgColor theme="0" tint="-0.14999847407452621"/>
        <bgColor indexed="64"/>
      </patternFill>
    </fill>
    <fill>
      <patternFill patternType="solid">
        <fgColor theme="4" tint="-0.499984740745262"/>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rgb="FF00B050"/>
        <bgColor indexed="64"/>
      </patternFill>
    </fill>
    <fill>
      <patternFill patternType="solid">
        <fgColor theme="0"/>
        <bgColor rgb="FFBFECFF"/>
      </patternFill>
    </fill>
    <fill>
      <patternFill patternType="solid">
        <fgColor theme="4" tint="0.79998168889431442"/>
        <bgColor rgb="FFBFECFF"/>
      </patternFill>
    </fill>
    <fill>
      <patternFill patternType="solid">
        <fgColor theme="4" tint="0.79998168889431442"/>
        <bgColor rgb="FFFFFFCC"/>
      </patternFill>
    </fill>
    <fill>
      <patternFill patternType="solid">
        <fgColor theme="0"/>
        <bgColor rgb="FF003366"/>
      </patternFill>
    </fill>
    <fill>
      <patternFill patternType="solid">
        <fgColor theme="0"/>
        <bgColor rgb="FFFFCC00"/>
      </patternFill>
    </fill>
  </fills>
  <borders count="41">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medium">
        <color auto="1"/>
      </left>
      <right style="medium">
        <color auto="1"/>
      </right>
      <top style="medium">
        <color auto="1"/>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thin">
        <color indexed="64"/>
      </right>
      <top style="medium">
        <color auto="1"/>
      </top>
      <bottom style="thin">
        <color auto="1"/>
      </bottom>
      <diagonal/>
    </border>
    <border>
      <left style="medium">
        <color auto="1"/>
      </left>
      <right/>
      <top style="medium">
        <color auto="1"/>
      </top>
      <bottom style="medium">
        <color auto="1"/>
      </bottom>
      <diagonal/>
    </border>
  </borders>
  <cellStyleXfs count="128">
    <xf numFmtId="0" fontId="0" fillId="0" borderId="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 fillId="16" borderId="0" applyBorder="0" applyProtection="0"/>
    <xf numFmtId="0" fontId="2" fillId="17" borderId="0" applyBorder="0" applyProtection="0"/>
    <xf numFmtId="0" fontId="2" fillId="18" borderId="0" applyBorder="0" applyProtection="0"/>
    <xf numFmtId="0" fontId="2" fillId="13" borderId="0" applyBorder="0" applyProtection="0"/>
    <xf numFmtId="0" fontId="2" fillId="14" borderId="0" applyBorder="0" applyProtection="0"/>
    <xf numFmtId="0" fontId="2" fillId="19" borderId="0" applyBorder="0" applyProtection="0"/>
    <xf numFmtId="0" fontId="3" fillId="3" borderId="0" applyBorder="0" applyProtection="0"/>
    <xf numFmtId="0" fontId="4" fillId="20" borderId="1" applyProtection="0"/>
    <xf numFmtId="0" fontId="5" fillId="21" borderId="2" applyProtection="0"/>
    <xf numFmtId="0" fontId="6" fillId="0" borderId="0" applyBorder="0" applyProtection="0"/>
    <xf numFmtId="0" fontId="7" fillId="4" borderId="0" applyBorder="0" applyProtection="0"/>
    <xf numFmtId="0" fontId="8" fillId="0" borderId="3" applyProtection="0"/>
    <xf numFmtId="0" fontId="9" fillId="0" borderId="4" applyProtection="0"/>
    <xf numFmtId="0" fontId="10" fillId="0" borderId="5" applyProtection="0"/>
    <xf numFmtId="0" fontId="10" fillId="0" borderId="0" applyBorder="0" applyProtection="0"/>
    <xf numFmtId="0" fontId="11" fillId="7" borderId="1" applyProtection="0"/>
    <xf numFmtId="0" fontId="12" fillId="0" borderId="6" applyProtection="0"/>
    <xf numFmtId="0" fontId="13" fillId="22" borderId="0" applyBorder="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66" fillId="0" borderId="0"/>
    <xf numFmtId="0" fontId="17" fillId="0" borderId="0"/>
    <xf numFmtId="0" fontId="15" fillId="0" borderId="0"/>
    <xf numFmtId="0" fontId="15" fillId="0" borderId="0"/>
    <xf numFmtId="0" fontId="15" fillId="0" borderId="0"/>
    <xf numFmtId="0" fontId="15" fillId="0" borderId="0"/>
    <xf numFmtId="0" fontId="15" fillId="0" borderId="0"/>
    <xf numFmtId="0" fontId="66" fillId="23" borderId="7" applyProtection="0"/>
    <xf numFmtId="0" fontId="66" fillId="23" borderId="7" applyProtection="0"/>
    <xf numFmtId="0" fontId="18" fillId="20" borderId="8" applyProtection="0"/>
    <xf numFmtId="0" fontId="19" fillId="0" borderId="0" applyBorder="0" applyProtection="0"/>
    <xf numFmtId="0" fontId="20" fillId="0" borderId="9" applyProtection="0"/>
    <xf numFmtId="0" fontId="21" fillId="0" borderId="0" applyBorder="0" applyProtection="0"/>
  </cellStyleXfs>
  <cellXfs count="861">
    <xf numFmtId="0" fontId="0" fillId="0" borderId="0" xfId="0"/>
    <xf numFmtId="0" fontId="22" fillId="0" borderId="0" xfId="0" applyFont="1"/>
    <xf numFmtId="0" fontId="15" fillId="0" borderId="0" xfId="120" applyAlignment="1">
      <alignment horizontal="center"/>
    </xf>
    <xf numFmtId="0" fontId="15" fillId="0" borderId="0" xfId="120"/>
    <xf numFmtId="0" fontId="15" fillId="0" borderId="0" xfId="120" applyAlignment="1">
      <alignment horizontal="center" vertical="center"/>
    </xf>
    <xf numFmtId="0" fontId="15" fillId="0" borderId="0" xfId="120" applyAlignment="1" applyProtection="1">
      <alignment horizontal="center" vertical="center"/>
      <protection locked="0"/>
    </xf>
    <xf numFmtId="0" fontId="15" fillId="0" borderId="0" xfId="120" applyProtection="1">
      <protection locked="0"/>
    </xf>
    <xf numFmtId="0" fontId="23" fillId="0" borderId="0" xfId="120" applyFont="1" applyAlignment="1" applyProtection="1">
      <alignment horizontal="center" vertical="center"/>
      <protection locked="0"/>
    </xf>
    <xf numFmtId="0" fontId="16" fillId="0" borderId="0" xfId="55" applyProtection="1">
      <protection locked="0"/>
    </xf>
    <xf numFmtId="0" fontId="24" fillId="0" borderId="0" xfId="120" applyFont="1" applyAlignment="1" applyProtection="1">
      <alignment horizontal="center" vertical="center"/>
      <protection locked="0"/>
    </xf>
    <xf numFmtId="0" fontId="25" fillId="0" borderId="0" xfId="120" applyFont="1" applyProtection="1">
      <protection locked="0"/>
    </xf>
    <xf numFmtId="0" fontId="26" fillId="0" borderId="0" xfId="120" applyFont="1" applyAlignment="1">
      <alignment horizontal="center"/>
    </xf>
    <xf numFmtId="0" fontId="26" fillId="0" borderId="0" xfId="120" applyFont="1" applyAlignment="1">
      <alignment horizontal="left"/>
    </xf>
    <xf numFmtId="0" fontId="26" fillId="0" borderId="0" xfId="120" applyFont="1" applyAlignment="1">
      <alignment horizontal="center" vertical="center"/>
    </xf>
    <xf numFmtId="0" fontId="26" fillId="0" borderId="0" xfId="120" applyFont="1" applyAlignment="1" applyProtection="1">
      <alignment horizontal="center" vertical="center"/>
      <protection locked="0"/>
    </xf>
    <xf numFmtId="0" fontId="27" fillId="0" borderId="0" xfId="120" applyFont="1" applyAlignment="1" applyProtection="1">
      <alignment horizontal="center" vertical="center"/>
      <protection locked="0"/>
    </xf>
    <xf numFmtId="0" fontId="15" fillId="0" borderId="0" xfId="120" applyAlignment="1">
      <alignment horizontal="right"/>
    </xf>
    <xf numFmtId="0" fontId="28" fillId="24" borderId="11" xfId="120" applyFont="1" applyFill="1" applyBorder="1" applyAlignment="1">
      <alignment horizontal="center" vertical="center"/>
    </xf>
    <xf numFmtId="0" fontId="28" fillId="24" borderId="11" xfId="120" applyFont="1" applyFill="1" applyBorder="1" applyAlignment="1">
      <alignment horizontal="center" vertical="center" wrapText="1"/>
    </xf>
    <xf numFmtId="0" fontId="28" fillId="24" borderId="11" xfId="120" applyFont="1" applyFill="1" applyBorder="1" applyAlignment="1" applyProtection="1">
      <alignment horizontal="center" vertical="center" wrapText="1"/>
      <protection locked="0"/>
    </xf>
    <xf numFmtId="0" fontId="26" fillId="0" borderId="12" xfId="120" applyFont="1" applyBorder="1" applyAlignment="1">
      <alignment horizontal="center"/>
    </xf>
    <xf numFmtId="0" fontId="26" fillId="0" borderId="12" xfId="120" applyFont="1" applyBorder="1" applyAlignment="1">
      <alignment horizontal="right" vertical="center" indent="1"/>
    </xf>
    <xf numFmtId="0" fontId="26" fillId="0" borderId="12" xfId="120" applyFont="1" applyBorder="1" applyAlignment="1">
      <alignment horizontal="center" vertical="center"/>
    </xf>
    <xf numFmtId="0" fontId="26" fillId="0" borderId="12" xfId="120" applyFont="1" applyBorder="1" applyAlignment="1" applyProtection="1">
      <alignment horizontal="center" vertical="center"/>
      <protection locked="0"/>
    </xf>
    <xf numFmtId="0" fontId="15" fillId="0" borderId="0" xfId="120" applyAlignment="1">
      <alignment horizontal="right" vertical="center" indent="1"/>
    </xf>
    <xf numFmtId="0" fontId="16" fillId="0" borderId="0" xfId="55" applyAlignment="1" applyProtection="1">
      <alignment horizontal="center" vertical="center"/>
      <protection locked="0"/>
    </xf>
    <xf numFmtId="0" fontId="26" fillId="0" borderId="12" xfId="120" applyFont="1" applyBorder="1" applyAlignment="1">
      <alignment horizontal="right" vertical="center"/>
    </xf>
    <xf numFmtId="0" fontId="16" fillId="0" borderId="0" xfId="55" applyAlignment="1">
      <alignment horizontal="center" vertical="center"/>
    </xf>
    <xf numFmtId="0" fontId="27" fillId="0" borderId="0" xfId="120" applyFont="1" applyAlignment="1" applyProtection="1">
      <alignment horizontal="center"/>
      <protection locked="0"/>
    </xf>
    <xf numFmtId="0" fontId="28" fillId="0" borderId="0" xfId="0" applyFont="1" applyAlignment="1">
      <alignment horizontal="center"/>
    </xf>
    <xf numFmtId="0" fontId="26" fillId="0" borderId="12" xfId="120" applyFont="1" applyBorder="1" applyAlignment="1">
      <alignment horizontal="right" indent="2"/>
    </xf>
    <xf numFmtId="0" fontId="29" fillId="0" borderId="13" xfId="120" applyFont="1" applyBorder="1" applyAlignment="1" applyProtection="1">
      <alignment horizontal="center"/>
      <protection locked="0"/>
    </xf>
    <xf numFmtId="10" fontId="15" fillId="0" borderId="12" xfId="120" applyNumberFormat="1" applyBorder="1" applyAlignment="1" applyProtection="1">
      <alignment horizontal="center"/>
      <protection locked="0"/>
    </xf>
    <xf numFmtId="0" fontId="15" fillId="0" borderId="12" xfId="120" applyBorder="1" applyAlignment="1">
      <alignment horizontal="center" vertical="center"/>
    </xf>
    <xf numFmtId="0" fontId="15" fillId="0" borderId="12" xfId="120" applyBorder="1" applyAlignment="1" applyProtection="1">
      <alignment horizontal="center" vertical="center"/>
      <protection locked="0"/>
    </xf>
    <xf numFmtId="0" fontId="15" fillId="26" borderId="12" xfId="120" applyFill="1" applyBorder="1" applyAlignment="1" applyProtection="1">
      <alignment horizontal="right"/>
      <protection locked="0"/>
    </xf>
    <xf numFmtId="0" fontId="15" fillId="26" borderId="12" xfId="120" applyFill="1" applyBorder="1" applyAlignment="1">
      <alignment horizontal="center" vertical="center"/>
    </xf>
    <xf numFmtId="0" fontId="15" fillId="26" borderId="12" xfId="120" applyFill="1" applyBorder="1" applyAlignment="1" applyProtection="1">
      <alignment horizontal="center" vertical="center"/>
      <protection locked="0"/>
    </xf>
    <xf numFmtId="0" fontId="15" fillId="26" borderId="12" xfId="120" applyFill="1" applyBorder="1" applyAlignment="1">
      <alignment horizontal="center"/>
    </xf>
    <xf numFmtId="0" fontId="15" fillId="26" borderId="12" xfId="120" applyFill="1" applyBorder="1" applyAlignment="1">
      <alignment horizontal="right" vertical="center"/>
    </xf>
    <xf numFmtId="10" fontId="15" fillId="26" borderId="12" xfId="120" applyNumberFormat="1" applyFill="1" applyBorder="1" applyAlignment="1" applyProtection="1">
      <alignment horizontal="center"/>
      <protection locked="0"/>
    </xf>
    <xf numFmtId="0" fontId="15" fillId="26" borderId="0" xfId="120" applyFill="1" applyProtection="1">
      <protection locked="0"/>
    </xf>
    <xf numFmtId="0" fontId="0" fillId="26" borderId="0" xfId="0" applyFill="1"/>
    <xf numFmtId="0" fontId="30" fillId="26" borderId="0" xfId="120" applyFont="1" applyFill="1" applyAlignment="1" applyProtection="1">
      <alignment horizontal="center"/>
      <protection locked="0"/>
    </xf>
    <xf numFmtId="10" fontId="15" fillId="26" borderId="0" xfId="120" applyNumberFormat="1" applyFill="1" applyAlignment="1" applyProtection="1">
      <alignment horizontal="center"/>
      <protection locked="0"/>
    </xf>
    <xf numFmtId="0" fontId="15" fillId="26" borderId="12" xfId="120" applyFill="1" applyBorder="1"/>
    <xf numFmtId="0" fontId="15" fillId="26" borderId="14" xfId="120" applyFill="1" applyBorder="1" applyAlignment="1" applyProtection="1">
      <alignment horizontal="center" vertical="center"/>
      <protection locked="0"/>
    </xf>
    <xf numFmtId="0" fontId="29" fillId="26" borderId="12" xfId="120" applyFont="1" applyFill="1" applyBorder="1" applyAlignment="1" applyProtection="1">
      <alignment horizontal="center"/>
      <protection locked="0"/>
    </xf>
    <xf numFmtId="0" fontId="15" fillId="26" borderId="13" xfId="120" applyFill="1" applyBorder="1" applyAlignment="1">
      <alignment horizontal="center"/>
    </xf>
    <xf numFmtId="0" fontId="15" fillId="26" borderId="12" xfId="120" applyFill="1" applyBorder="1" applyAlignment="1" applyProtection="1">
      <alignment horizontal="right" indent="1"/>
      <protection locked="0"/>
    </xf>
    <xf numFmtId="10" fontId="31" fillId="26" borderId="0" xfId="120" applyNumberFormat="1" applyFont="1" applyFill="1" applyAlignment="1" applyProtection="1">
      <alignment horizontal="center"/>
      <protection locked="0"/>
    </xf>
    <xf numFmtId="0" fontId="15" fillId="26" borderId="12" xfId="120" applyFill="1" applyBorder="1" applyAlignment="1" applyProtection="1">
      <alignment horizontal="center"/>
      <protection locked="0"/>
    </xf>
    <xf numFmtId="0" fontId="15" fillId="26" borderId="0" xfId="120" applyFill="1" applyAlignment="1">
      <alignment horizontal="center"/>
    </xf>
    <xf numFmtId="0" fontId="15" fillId="0" borderId="11" xfId="120" applyBorder="1" applyAlignment="1">
      <alignment horizontal="center"/>
    </xf>
    <xf numFmtId="0" fontId="15" fillId="0" borderId="15" xfId="120" applyBorder="1" applyAlignment="1">
      <alignment horizontal="right" vertical="center" indent="1"/>
    </xf>
    <xf numFmtId="0" fontId="15" fillId="0" borderId="15" xfId="120" applyBorder="1" applyAlignment="1">
      <alignment horizontal="center" vertical="center"/>
    </xf>
    <xf numFmtId="0" fontId="15" fillId="0" borderId="15" xfId="120" applyBorder="1" applyAlignment="1" applyProtection="1">
      <alignment horizontal="center" vertical="center"/>
      <protection locked="0"/>
    </xf>
    <xf numFmtId="0" fontId="29" fillId="0" borderId="12" xfId="120" applyFont="1" applyBorder="1" applyAlignment="1" applyProtection="1">
      <alignment horizontal="center" vertical="center"/>
      <protection locked="0"/>
    </xf>
    <xf numFmtId="0" fontId="16" fillId="26" borderId="0" xfId="55" applyFill="1" applyProtection="1">
      <protection locked="0"/>
    </xf>
    <xf numFmtId="0" fontId="15" fillId="0" borderId="14" xfId="120" applyBorder="1" applyAlignment="1">
      <alignment horizontal="center" vertical="center"/>
    </xf>
    <xf numFmtId="0" fontId="15" fillId="0" borderId="12" xfId="120" applyBorder="1" applyAlignment="1">
      <alignment horizontal="right" vertical="center" indent="1"/>
    </xf>
    <xf numFmtId="0" fontId="15" fillId="26" borderId="0" xfId="120" applyFill="1" applyAlignment="1" applyProtection="1">
      <alignment horizontal="center" vertical="center"/>
      <protection locked="0"/>
    </xf>
    <xf numFmtId="0" fontId="16" fillId="0" borderId="12" xfId="55" applyBorder="1" applyProtection="1">
      <protection locked="0"/>
    </xf>
    <xf numFmtId="0" fontId="30" fillId="0" borderId="0" xfId="120" applyFont="1" applyAlignment="1" applyProtection="1">
      <alignment horizontal="center" vertical="center"/>
      <protection locked="0"/>
    </xf>
    <xf numFmtId="0" fontId="15" fillId="0" borderId="12" xfId="120" applyBorder="1" applyAlignment="1" applyProtection="1">
      <alignment horizontal="center"/>
      <protection locked="0"/>
    </xf>
    <xf numFmtId="0" fontId="15" fillId="0" borderId="12" xfId="120" applyBorder="1"/>
    <xf numFmtId="0" fontId="30" fillId="0" borderId="0" xfId="120" applyFont="1" applyAlignment="1" applyProtection="1">
      <alignment horizontal="center"/>
      <protection locked="0"/>
    </xf>
    <xf numFmtId="0" fontId="32" fillId="24" borderId="11" xfId="120" applyFont="1" applyFill="1" applyBorder="1" applyAlignment="1">
      <alignment horizontal="center" vertical="center"/>
    </xf>
    <xf numFmtId="0" fontId="32" fillId="24" borderId="11" xfId="120" applyFont="1" applyFill="1" applyBorder="1" applyAlignment="1" applyProtection="1">
      <alignment horizontal="center" vertical="center" wrapText="1"/>
      <protection locked="0"/>
    </xf>
    <xf numFmtId="0" fontId="33" fillId="0" borderId="12" xfId="120" applyFont="1" applyBorder="1" applyAlignment="1">
      <alignment horizontal="center" vertical="center"/>
    </xf>
    <xf numFmtId="0" fontId="33" fillId="0" borderId="12" xfId="120" applyFont="1" applyBorder="1" applyAlignment="1">
      <alignment horizontal="right" indent="2"/>
    </xf>
    <xf numFmtId="0" fontId="33" fillId="0" borderId="12" xfId="120" applyFont="1" applyBorder="1" applyAlignment="1" applyProtection="1">
      <alignment horizontal="center" vertical="center"/>
      <protection locked="0"/>
    </xf>
    <xf numFmtId="0" fontId="34" fillId="0" borderId="14" xfId="120" applyFont="1" applyBorder="1" applyAlignment="1">
      <alignment horizontal="center" vertical="center"/>
    </xf>
    <xf numFmtId="0" fontId="35" fillId="26" borderId="12" xfId="55" applyFont="1" applyFill="1" applyBorder="1" applyProtection="1">
      <protection locked="0"/>
    </xf>
    <xf numFmtId="0" fontId="34" fillId="0" borderId="12" xfId="120" applyFont="1" applyBorder="1" applyAlignment="1" applyProtection="1">
      <alignment horizontal="center"/>
      <protection locked="0"/>
    </xf>
    <xf numFmtId="0" fontId="15" fillId="0" borderId="11" xfId="120" applyBorder="1"/>
    <xf numFmtId="0" fontId="15" fillId="0" borderId="11" xfId="120" applyBorder="1" applyAlignment="1">
      <alignment horizontal="center" vertical="center"/>
    </xf>
    <xf numFmtId="0" fontId="15" fillId="0" borderId="11" xfId="120" applyBorder="1" applyAlignment="1" applyProtection="1">
      <alignment horizontal="center" vertical="center"/>
      <protection locked="0"/>
    </xf>
    <xf numFmtId="0" fontId="36" fillId="24" borderId="11" xfId="120" applyFont="1" applyFill="1" applyBorder="1" applyAlignment="1">
      <alignment horizontal="center" vertical="center"/>
    </xf>
    <xf numFmtId="0" fontId="36" fillId="24" borderId="11" xfId="120" applyFont="1" applyFill="1" applyBorder="1" applyAlignment="1" applyProtection="1">
      <alignment horizontal="center" vertical="center" wrapText="1"/>
      <protection locked="0"/>
    </xf>
    <xf numFmtId="0" fontId="37" fillId="0" borderId="12" xfId="120" applyFont="1" applyBorder="1" applyAlignment="1">
      <alignment horizontal="center" vertical="center"/>
    </xf>
    <xf numFmtId="0" fontId="37" fillId="0" borderId="12" xfId="120" applyFont="1" applyBorder="1" applyAlignment="1">
      <alignment horizontal="right" indent="2"/>
    </xf>
    <xf numFmtId="0" fontId="38" fillId="0" borderId="14" xfId="120" applyFont="1" applyBorder="1" applyAlignment="1">
      <alignment horizontal="center" vertical="center"/>
    </xf>
    <xf numFmtId="0" fontId="38" fillId="0" borderId="12" xfId="120" applyFont="1" applyBorder="1" applyAlignment="1">
      <alignment horizontal="right" vertical="center" indent="1"/>
    </xf>
    <xf numFmtId="0" fontId="38" fillId="0" borderId="12" xfId="120" applyFont="1" applyBorder="1" applyAlignment="1">
      <alignment horizontal="center" vertical="center"/>
    </xf>
    <xf numFmtId="0" fontId="38" fillId="0" borderId="12" xfId="120" applyFont="1" applyBorder="1" applyAlignment="1" applyProtection="1">
      <alignment horizontal="center" vertical="center"/>
      <protection locked="0"/>
    </xf>
    <xf numFmtId="0" fontId="34" fillId="26" borderId="0" xfId="120" applyFont="1" applyFill="1" applyAlignment="1">
      <alignment horizontal="right" vertical="center" indent="1"/>
    </xf>
    <xf numFmtId="0" fontId="34" fillId="26" borderId="0" xfId="120" applyFont="1" applyFill="1" applyAlignment="1" applyProtection="1">
      <alignment horizontal="right"/>
      <protection locked="0"/>
    </xf>
    <xf numFmtId="0" fontId="38" fillId="0" borderId="12" xfId="120" applyFont="1" applyBorder="1" applyAlignment="1" applyProtection="1">
      <alignment horizontal="center"/>
      <protection locked="0"/>
    </xf>
    <xf numFmtId="0" fontId="39" fillId="24" borderId="11" xfId="120" applyFont="1" applyFill="1" applyBorder="1" applyAlignment="1">
      <alignment horizontal="center" vertical="center"/>
    </xf>
    <xf numFmtId="0" fontId="39" fillId="24" borderId="11" xfId="120" applyFont="1" applyFill="1" applyBorder="1" applyAlignment="1" applyProtection="1">
      <alignment horizontal="center" vertical="center" wrapText="1"/>
      <protection locked="0"/>
    </xf>
    <xf numFmtId="0" fontId="29" fillId="0" borderId="12" xfId="120" applyFont="1" applyBorder="1" applyAlignment="1">
      <alignment horizontal="center" vertical="center"/>
    </xf>
    <xf numFmtId="0" fontId="29" fillId="0" borderId="12" xfId="120" applyFont="1" applyBorder="1" applyAlignment="1">
      <alignment horizontal="right" indent="2"/>
    </xf>
    <xf numFmtId="0" fontId="40" fillId="0" borderId="14" xfId="120" applyFont="1" applyBorder="1" applyAlignment="1">
      <alignment horizontal="center" vertical="center"/>
    </xf>
    <xf numFmtId="0" fontId="40" fillId="0" borderId="12" xfId="120" applyFont="1" applyBorder="1" applyAlignment="1">
      <alignment horizontal="center" vertical="center"/>
    </xf>
    <xf numFmtId="0" fontId="40" fillId="0" borderId="12" xfId="120" applyFont="1" applyBorder="1" applyAlignment="1" applyProtection="1">
      <alignment horizontal="center" vertical="center"/>
      <protection locked="0"/>
    </xf>
    <xf numFmtId="0" fontId="40" fillId="0" borderId="12" xfId="120" applyFont="1" applyBorder="1" applyAlignment="1">
      <alignment horizontal="right" vertical="center" indent="1"/>
    </xf>
    <xf numFmtId="0" fontId="29" fillId="0" borderId="12" xfId="120" applyFont="1" applyBorder="1" applyAlignment="1" applyProtection="1">
      <alignment horizontal="center"/>
      <protection locked="0"/>
    </xf>
    <xf numFmtId="0" fontId="40" fillId="0" borderId="12" xfId="120" applyFont="1" applyBorder="1" applyAlignment="1" applyProtection="1">
      <alignment horizontal="center"/>
      <protection locked="0"/>
    </xf>
    <xf numFmtId="0" fontId="0" fillId="0" borderId="0" xfId="0" applyAlignment="1">
      <alignment horizontal="center"/>
    </xf>
    <xf numFmtId="0" fontId="41" fillId="0" borderId="0" xfId="0" applyFont="1" applyAlignment="1">
      <alignment horizontal="center"/>
    </xf>
    <xf numFmtId="0" fontId="41" fillId="0" borderId="0" xfId="0" applyFont="1" applyAlignment="1">
      <alignment horizontal="center" wrapText="1"/>
    </xf>
    <xf numFmtId="0" fontId="41" fillId="0" borderId="0" xfId="0" applyFont="1" applyAlignment="1">
      <alignment horizontal="center" vertical="center"/>
    </xf>
    <xf numFmtId="0" fontId="28" fillId="0" borderId="0" xfId="0" applyFont="1"/>
    <xf numFmtId="0" fontId="0" fillId="0" borderId="12" xfId="0" applyBorder="1"/>
    <xf numFmtId="0" fontId="0" fillId="0" borderId="12" xfId="0" applyBorder="1" applyAlignment="1">
      <alignment horizontal="center"/>
    </xf>
    <xf numFmtId="0" fontId="0" fillId="0" borderId="16" xfId="0" applyBorder="1"/>
    <xf numFmtId="0" fontId="0" fillId="0" borderId="17" xfId="0" applyBorder="1" applyAlignment="1">
      <alignment horizontal="center"/>
    </xf>
    <xf numFmtId="0" fontId="0" fillId="0" borderId="18" xfId="0" applyBorder="1"/>
    <xf numFmtId="0" fontId="0" fillId="0" borderId="19" xfId="0" applyBorder="1" applyAlignment="1">
      <alignment horizontal="center"/>
    </xf>
    <xf numFmtId="0" fontId="0" fillId="0" borderId="20" xfId="0" applyBorder="1"/>
    <xf numFmtId="0" fontId="0" fillId="0" borderId="21" xfId="0" applyBorder="1" applyAlignment="1">
      <alignment horizontal="center"/>
    </xf>
    <xf numFmtId="9" fontId="0" fillId="0" borderId="0" xfId="0" applyNumberFormat="1"/>
    <xf numFmtId="0" fontId="42" fillId="0" borderId="0" xfId="0" applyFont="1" applyAlignment="1">
      <alignment horizontal="center" vertical="center"/>
    </xf>
    <xf numFmtId="0" fontId="42" fillId="0" borderId="0" xfId="0" applyFont="1" applyAlignment="1">
      <alignment vertical="center"/>
    </xf>
    <xf numFmtId="0" fontId="42" fillId="0" borderId="0" xfId="0" applyFont="1" applyProtection="1">
      <protection locked="0"/>
    </xf>
    <xf numFmtId="0" fontId="42" fillId="0" borderId="0" xfId="0" applyFont="1" applyAlignment="1" applyProtection="1">
      <alignment horizontal="center"/>
      <protection locked="0"/>
    </xf>
    <xf numFmtId="0" fontId="42" fillId="26" borderId="0" xfId="0" applyFont="1" applyFill="1" applyAlignment="1" applyProtection="1">
      <alignment horizontal="center" vertical="center"/>
      <protection locked="0"/>
    </xf>
    <xf numFmtId="0" fontId="42" fillId="26" borderId="0" xfId="0" applyFont="1" applyFill="1" applyProtection="1">
      <protection locked="0"/>
    </xf>
    <xf numFmtId="0" fontId="43" fillId="27" borderId="10" xfId="0" applyFont="1" applyFill="1" applyBorder="1" applyAlignment="1">
      <alignment horizontal="center" vertical="center" wrapText="1"/>
    </xf>
    <xf numFmtId="0" fontId="43" fillId="27" borderId="10" xfId="0" applyFont="1" applyFill="1" applyBorder="1" applyAlignment="1" applyProtection="1">
      <alignment horizontal="center" vertical="center"/>
      <protection locked="0"/>
    </xf>
    <xf numFmtId="0" fontId="44" fillId="27" borderId="10" xfId="0" applyFont="1" applyFill="1" applyBorder="1" applyAlignment="1" applyProtection="1">
      <alignment horizontal="center" vertical="center" textRotation="90" wrapText="1"/>
      <protection locked="0"/>
    </xf>
    <xf numFmtId="0" fontId="43" fillId="27" borderId="10" xfId="0" applyFont="1" applyFill="1" applyBorder="1" applyAlignment="1" applyProtection="1">
      <alignment horizontal="center" vertical="center" textRotation="90"/>
      <protection locked="0"/>
    </xf>
    <xf numFmtId="0" fontId="43" fillId="27" borderId="10" xfId="0" applyFont="1" applyFill="1" applyBorder="1" applyAlignment="1" applyProtection="1">
      <alignment horizontal="center" vertical="center" textRotation="90" wrapText="1"/>
      <protection locked="0"/>
    </xf>
    <xf numFmtId="0" fontId="45" fillId="0" borderId="0" xfId="0" applyFont="1" applyAlignment="1" applyProtection="1">
      <alignment horizontal="center" vertical="center"/>
      <protection locked="0"/>
    </xf>
    <xf numFmtId="0" fontId="46" fillId="24" borderId="13" xfId="0" applyFont="1" applyFill="1" applyBorder="1" applyAlignment="1">
      <alignment horizontal="left" vertical="center"/>
    </xf>
    <xf numFmtId="0" fontId="42" fillId="24" borderId="22" xfId="0" applyFont="1" applyFill="1" applyBorder="1" applyAlignment="1">
      <alignment horizontal="center" vertical="center"/>
    </xf>
    <xf numFmtId="0" fontId="42" fillId="24" borderId="22" xfId="0" applyFont="1" applyFill="1" applyBorder="1" applyAlignment="1">
      <alignment vertical="center"/>
    </xf>
    <xf numFmtId="0" fontId="42" fillId="24" borderId="22" xfId="0" applyFont="1" applyFill="1" applyBorder="1" applyAlignment="1" applyProtection="1">
      <alignment vertical="top"/>
      <protection locked="0"/>
    </xf>
    <xf numFmtId="0" fontId="42" fillId="24" borderId="22" xfId="0" applyFont="1" applyFill="1" applyBorder="1" applyAlignment="1" applyProtection="1">
      <alignment horizontal="center"/>
      <protection locked="0"/>
    </xf>
    <xf numFmtId="0" fontId="42" fillId="24" borderId="22" xfId="0" applyFont="1" applyFill="1" applyBorder="1" applyProtection="1">
      <protection locked="0"/>
    </xf>
    <xf numFmtId="0" fontId="42" fillId="0" borderId="0" xfId="0" applyFont="1" applyAlignment="1" applyProtection="1">
      <alignment horizontal="center" vertical="center"/>
      <protection locked="0"/>
    </xf>
    <xf numFmtId="0" fontId="42" fillId="0" borderId="12" xfId="0" applyFont="1" applyBorder="1" applyAlignment="1">
      <alignment horizontal="center" vertical="center"/>
    </xf>
    <xf numFmtId="0" fontId="42" fillId="0" borderId="12" xfId="0" applyFont="1" applyBorder="1" applyAlignment="1">
      <alignment horizontal="center" vertical="center" wrapText="1"/>
    </xf>
    <xf numFmtId="0" fontId="42" fillId="0" borderId="12" xfId="0" applyFont="1" applyBorder="1" applyAlignment="1">
      <alignment vertical="center" wrapText="1"/>
    </xf>
    <xf numFmtId="0" fontId="42" fillId="0" borderId="12" xfId="0" applyFont="1" applyBorder="1" applyAlignment="1" applyProtection="1">
      <alignment horizontal="left"/>
      <protection locked="0"/>
    </xf>
    <xf numFmtId="0" fontId="42" fillId="0" borderId="12" xfId="0" applyFont="1" applyBorder="1" applyAlignment="1" applyProtection="1">
      <alignment horizontal="center"/>
      <protection locked="0"/>
    </xf>
    <xf numFmtId="0" fontId="42" fillId="0" borderId="12" xfId="55" applyFont="1" applyBorder="1" applyAlignment="1" applyProtection="1">
      <alignment horizontal="center" vertical="center"/>
      <protection locked="0"/>
    </xf>
    <xf numFmtId="0" fontId="42" fillId="0" borderId="12" xfId="0" applyFont="1" applyBorder="1" applyAlignment="1" applyProtection="1">
      <alignment horizontal="left" vertical="center"/>
      <protection locked="0"/>
    </xf>
    <xf numFmtId="0" fontId="42" fillId="0" borderId="12" xfId="121" applyFont="1" applyBorder="1" applyAlignment="1" applyProtection="1">
      <alignment horizontal="center" vertical="center"/>
      <protection locked="0"/>
    </xf>
    <xf numFmtId="0" fontId="42" fillId="28" borderId="0" xfId="0" applyFont="1" applyFill="1" applyAlignment="1" applyProtection="1">
      <alignment horizontal="center" vertical="center"/>
      <protection locked="0"/>
    </xf>
    <xf numFmtId="0" fontId="42" fillId="24" borderId="12" xfId="0" applyFont="1" applyFill="1" applyBorder="1" applyAlignment="1">
      <alignment horizontal="center" vertical="center"/>
    </xf>
    <xf numFmtId="0" fontId="47" fillId="24" borderId="12" xfId="0" applyFont="1" applyFill="1" applyBorder="1" applyAlignment="1">
      <alignment vertical="center" wrapText="1"/>
    </xf>
    <xf numFmtId="0" fontId="42" fillId="24" borderId="12" xfId="0" applyFont="1" applyFill="1" applyBorder="1" applyAlignment="1" applyProtection="1">
      <alignment horizontal="left" vertical="center"/>
      <protection locked="0"/>
    </xf>
    <xf numFmtId="0" fontId="42" fillId="24" borderId="12" xfId="121" applyFont="1" applyFill="1" applyBorder="1" applyAlignment="1" applyProtection="1">
      <alignment horizontal="center" vertical="center"/>
      <protection locked="0"/>
    </xf>
    <xf numFmtId="0" fontId="42" fillId="24" borderId="12" xfId="55" applyFont="1" applyFill="1" applyBorder="1" applyAlignment="1" applyProtection="1">
      <alignment horizontal="center" vertical="center"/>
      <protection locked="0"/>
    </xf>
    <xf numFmtId="0" fontId="42" fillId="25"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42" fillId="24" borderId="12" xfId="0" applyFont="1" applyFill="1" applyBorder="1" applyAlignment="1" applyProtection="1">
      <alignment horizontal="center"/>
      <protection locked="0"/>
    </xf>
    <xf numFmtId="0" fontId="42" fillId="0" borderId="12" xfId="0" applyFont="1" applyBorder="1" applyAlignment="1">
      <alignment horizontal="left" vertical="center" wrapText="1" indent="2"/>
    </xf>
    <xf numFmtId="0" fontId="48" fillId="0" borderId="12" xfId="0" applyFont="1" applyBorder="1" applyAlignment="1" applyProtection="1">
      <alignment horizontal="left" vertical="center"/>
      <protection locked="0"/>
    </xf>
    <xf numFmtId="0" fontId="48" fillId="24" borderId="12" xfId="0" applyFont="1" applyFill="1" applyBorder="1" applyAlignment="1" applyProtection="1">
      <alignment horizontal="left" vertical="center"/>
      <protection locked="0"/>
    </xf>
    <xf numFmtId="0" fontId="42" fillId="24" borderId="12" xfId="0" applyFont="1" applyFill="1" applyBorder="1" applyAlignment="1" applyProtection="1">
      <alignment horizontal="left" vertical="center" indent="2"/>
      <protection locked="0"/>
    </xf>
    <xf numFmtId="0" fontId="42" fillId="0" borderId="12" xfId="0" applyFont="1" applyBorder="1" applyAlignment="1" applyProtection="1">
      <alignment horizontal="left" vertical="center" indent="2"/>
      <protection locked="0"/>
    </xf>
    <xf numFmtId="0" fontId="42" fillId="0" borderId="12" xfId="0" applyFont="1" applyBorder="1" applyAlignment="1">
      <alignment horizontal="left" vertical="center" wrapText="1" indent="3"/>
    </xf>
    <xf numFmtId="0" fontId="42" fillId="24" borderId="12" xfId="0" applyFont="1" applyFill="1" applyBorder="1" applyAlignment="1">
      <alignment vertical="center" wrapText="1"/>
    </xf>
    <xf numFmtId="0" fontId="49" fillId="0" borderId="0" xfId="0" applyFont="1" applyAlignment="1">
      <alignment vertical="center"/>
    </xf>
    <xf numFmtId="0" fontId="42" fillId="0" borderId="0" xfId="0" applyFont="1" applyAlignment="1">
      <alignment horizontal="left"/>
    </xf>
    <xf numFmtId="0" fontId="43" fillId="27" borderId="23" xfId="0" applyFont="1" applyFill="1" applyBorder="1" applyAlignment="1">
      <alignment horizontal="center" vertical="center" wrapText="1"/>
    </xf>
    <xf numFmtId="0" fontId="43" fillId="27" borderId="23" xfId="0" applyFont="1" applyFill="1" applyBorder="1" applyAlignment="1" applyProtection="1">
      <alignment horizontal="center" vertical="center"/>
      <protection locked="0"/>
    </xf>
    <xf numFmtId="0" fontId="44" fillId="27" borderId="23" xfId="0" applyFont="1" applyFill="1" applyBorder="1" applyAlignment="1" applyProtection="1">
      <alignment horizontal="center" vertical="center" textRotation="90" wrapText="1"/>
      <protection locked="0"/>
    </xf>
    <xf numFmtId="0" fontId="50" fillId="24" borderId="22" xfId="0" applyFont="1" applyFill="1" applyBorder="1" applyAlignment="1">
      <alignment horizontal="center" vertical="center"/>
    </xf>
    <xf numFmtId="0" fontId="42" fillId="24" borderId="22" xfId="0" applyFont="1" applyFill="1" applyBorder="1" applyAlignment="1">
      <alignment horizontal="left" vertical="top"/>
    </xf>
    <xf numFmtId="0" fontId="42" fillId="0" borderId="12" xfId="53" applyFont="1" applyBorder="1" applyAlignment="1">
      <alignment horizontal="center" vertical="center"/>
    </xf>
    <xf numFmtId="0" fontId="42" fillId="0" borderId="12" xfId="0" applyFont="1" applyBorder="1" applyAlignment="1">
      <alignment horizontal="left" vertical="center" wrapText="1"/>
    </xf>
    <xf numFmtId="0" fontId="42" fillId="0" borderId="24" xfId="121" applyFont="1" applyBorder="1" applyAlignment="1" applyProtection="1">
      <alignment horizontal="left" vertical="center"/>
      <protection locked="0"/>
    </xf>
    <xf numFmtId="0" fontId="42" fillId="0" borderId="13" xfId="55" applyFont="1" applyBorder="1" applyAlignment="1" applyProtection="1">
      <alignment horizontal="center" vertical="center"/>
      <protection locked="0"/>
    </xf>
    <xf numFmtId="0" fontId="42" fillId="0" borderId="25" xfId="121" applyFont="1" applyBorder="1" applyAlignment="1" applyProtection="1">
      <alignment horizontal="left" vertical="center"/>
      <protection locked="0"/>
    </xf>
    <xf numFmtId="0" fontId="42" fillId="0" borderId="12" xfId="121" applyFont="1" applyBorder="1" applyAlignment="1" applyProtection="1">
      <alignment horizontal="left" vertical="center"/>
      <protection locked="0"/>
    </xf>
    <xf numFmtId="0" fontId="42" fillId="0" borderId="11" xfId="0" applyFont="1" applyBorder="1" applyAlignment="1">
      <alignment horizontal="center" vertical="center" wrapText="1"/>
    </xf>
    <xf numFmtId="0" fontId="42" fillId="0" borderId="11" xfId="0" applyFont="1" applyBorder="1" applyAlignment="1">
      <alignment horizontal="left" vertical="center" wrapText="1"/>
    </xf>
    <xf numFmtId="0" fontId="42" fillId="0" borderId="15" xfId="0" applyFont="1" applyBorder="1" applyAlignment="1" applyProtection="1">
      <alignment horizontal="left" vertical="center" indent="2"/>
      <protection locked="0"/>
    </xf>
    <xf numFmtId="0" fontId="42" fillId="0" borderId="15" xfId="121" applyFont="1" applyBorder="1" applyAlignment="1" applyProtection="1">
      <alignment horizontal="left" vertical="center"/>
      <protection locked="0"/>
    </xf>
    <xf numFmtId="0" fontId="42" fillId="0" borderId="26" xfId="55" applyFont="1" applyBorder="1" applyAlignment="1" applyProtection="1">
      <alignment horizontal="center" vertical="center"/>
      <protection locked="0"/>
    </xf>
    <xf numFmtId="0" fontId="42" fillId="0" borderId="11" xfId="0" applyFont="1" applyBorder="1" applyAlignment="1" applyProtection="1">
      <alignment horizontal="left" vertical="center" indent="2"/>
      <protection locked="0"/>
    </xf>
    <xf numFmtId="0" fontId="42" fillId="0" borderId="11" xfId="121" applyFont="1" applyBorder="1" applyAlignment="1" applyProtection="1">
      <alignment horizontal="left" vertical="center"/>
      <protection locked="0"/>
    </xf>
    <xf numFmtId="0" fontId="42" fillId="0" borderId="11" xfId="55" applyFont="1" applyBorder="1" applyAlignment="1" applyProtection="1">
      <alignment horizontal="center" vertical="center"/>
      <protection locked="0"/>
    </xf>
    <xf numFmtId="0" fontId="42" fillId="0" borderId="27" xfId="55" applyFont="1" applyBorder="1" applyAlignment="1" applyProtection="1">
      <alignment horizontal="center" vertical="center"/>
      <protection locked="0"/>
    </xf>
    <xf numFmtId="0" fontId="42" fillId="24" borderId="22" xfId="0" applyFont="1" applyFill="1" applyBorder="1" applyAlignment="1">
      <alignment horizontal="left" vertical="center" wrapText="1"/>
    </xf>
    <xf numFmtId="0" fontId="42" fillId="24" borderId="22" xfId="0" applyFont="1" applyFill="1" applyBorder="1" applyAlignment="1" applyProtection="1">
      <alignment horizontal="left" vertical="center" indent="2"/>
      <protection locked="0"/>
    </xf>
    <xf numFmtId="0" fontId="42" fillId="24" borderId="22" xfId="121" applyFont="1" applyFill="1" applyBorder="1" applyAlignment="1" applyProtection="1">
      <alignment horizontal="left" vertical="center"/>
      <protection locked="0"/>
    </xf>
    <xf numFmtId="0" fontId="42" fillId="24" borderId="22" xfId="55" applyFont="1" applyFill="1" applyBorder="1" applyAlignment="1" applyProtection="1">
      <alignment horizontal="center" vertical="center"/>
      <protection locked="0"/>
    </xf>
    <xf numFmtId="0" fontId="42" fillId="24" borderId="28" xfId="55" applyFont="1" applyFill="1" applyBorder="1" applyAlignment="1" applyProtection="1">
      <alignment horizontal="center" vertical="center"/>
      <protection locked="0"/>
    </xf>
    <xf numFmtId="0" fontId="42" fillId="0" borderId="14" xfId="0" applyFont="1" applyBorder="1" applyAlignment="1">
      <alignment horizontal="center" vertical="center" wrapText="1"/>
    </xf>
    <xf numFmtId="0" fontId="42" fillId="0" borderId="14" xfId="0" applyFont="1" applyBorder="1" applyAlignment="1">
      <alignment horizontal="left" vertical="center" wrapText="1"/>
    </xf>
    <xf numFmtId="0" fontId="42" fillId="0" borderId="14" xfId="0" applyFont="1" applyBorder="1" applyAlignment="1" applyProtection="1">
      <alignment horizontal="left" vertical="center"/>
      <protection locked="0"/>
    </xf>
    <xf numFmtId="0" fontId="42" fillId="0" borderId="14" xfId="121" applyFont="1" applyBorder="1" applyAlignment="1" applyProtection="1">
      <alignment horizontal="left" vertical="center"/>
      <protection locked="0"/>
    </xf>
    <xf numFmtId="0" fontId="42" fillId="0" borderId="14" xfId="55" applyFont="1" applyBorder="1" applyAlignment="1" applyProtection="1">
      <alignment horizontal="center" vertical="center"/>
      <protection locked="0"/>
    </xf>
    <xf numFmtId="0" fontId="42" fillId="0" borderId="25" xfId="55" applyFont="1" applyBorder="1" applyAlignment="1" applyProtection="1">
      <alignment horizontal="center" vertical="center"/>
      <protection locked="0"/>
    </xf>
    <xf numFmtId="0" fontId="42" fillId="0" borderId="22" xfId="55" applyFont="1" applyBorder="1" applyAlignment="1" applyProtection="1">
      <alignment horizontal="center" vertical="center"/>
      <protection locked="0"/>
    </xf>
    <xf numFmtId="0" fontId="42" fillId="0" borderId="15" xfId="0" applyFont="1" applyBorder="1" applyAlignment="1">
      <alignment horizontal="left" vertical="center" wrapText="1" indent="3"/>
    </xf>
    <xf numFmtId="0" fontId="42" fillId="0" borderId="29" xfId="55" applyFont="1" applyBorder="1" applyAlignment="1" applyProtection="1">
      <alignment horizontal="center" vertical="center"/>
      <protection locked="0"/>
    </xf>
    <xf numFmtId="0" fontId="42" fillId="0" borderId="15" xfId="0" applyFont="1" applyBorder="1" applyAlignment="1" applyProtection="1">
      <alignment horizontal="left" vertical="center"/>
      <protection locked="0"/>
    </xf>
    <xf numFmtId="0" fontId="51" fillId="24" borderId="22" xfId="0" applyFont="1" applyFill="1" applyBorder="1" applyAlignment="1">
      <alignment horizontal="left" vertical="center" wrapText="1"/>
    </xf>
    <xf numFmtId="0" fontId="42" fillId="24" borderId="22" xfId="0" applyFont="1" applyFill="1" applyBorder="1" applyAlignment="1" applyProtection="1">
      <alignment horizontal="left" vertical="center"/>
      <protection locked="0"/>
    </xf>
    <xf numFmtId="0" fontId="52" fillId="0" borderId="0" xfId="0" applyFont="1" applyAlignment="1">
      <alignment horizontal="center" vertical="center"/>
    </xf>
    <xf numFmtId="0" fontId="52" fillId="0" borderId="0" xfId="0" applyFont="1" applyAlignment="1">
      <alignment horizontal="left"/>
    </xf>
    <xf numFmtId="0" fontId="52" fillId="0" borderId="0" xfId="0" applyFont="1" applyProtection="1">
      <protection locked="0"/>
    </xf>
    <xf numFmtId="0" fontId="50" fillId="24" borderId="13" xfId="0" applyFont="1" applyFill="1" applyBorder="1" applyAlignment="1">
      <alignment horizontal="left" vertical="center"/>
    </xf>
    <xf numFmtId="0" fontId="52" fillId="24" borderId="22" xfId="0" applyFont="1" applyFill="1" applyBorder="1" applyAlignment="1">
      <alignment horizontal="left" vertical="top"/>
    </xf>
    <xf numFmtId="0" fontId="52" fillId="24" borderId="22" xfId="0" applyFont="1" applyFill="1" applyBorder="1" applyAlignment="1" applyProtection="1">
      <alignment vertical="top"/>
      <protection locked="0"/>
    </xf>
    <xf numFmtId="0" fontId="52" fillId="24" borderId="22" xfId="0" applyFont="1" applyFill="1" applyBorder="1" applyProtection="1">
      <protection locked="0"/>
    </xf>
    <xf numFmtId="0" fontId="52" fillId="0" borderId="12" xfId="53" applyFont="1" applyBorder="1" applyAlignment="1">
      <alignment horizontal="center" vertical="center"/>
    </xf>
    <xf numFmtId="0" fontId="52" fillId="0" borderId="14" xfId="0" applyFont="1" applyBorder="1" applyAlignment="1">
      <alignment horizontal="center" vertical="center" wrapText="1"/>
    </xf>
    <xf numFmtId="0" fontId="52" fillId="0" borderId="12" xfId="0" applyFont="1" applyBorder="1" applyAlignment="1" applyProtection="1">
      <alignment vertical="top"/>
      <protection locked="0"/>
    </xf>
    <xf numFmtId="0" fontId="52" fillId="0" borderId="12" xfId="121" applyFont="1" applyBorder="1" applyAlignment="1" applyProtection="1">
      <alignment horizontal="left" vertical="center"/>
      <protection locked="0"/>
    </xf>
    <xf numFmtId="0" fontId="52" fillId="0" borderId="13" xfId="55" applyFont="1" applyBorder="1" applyAlignment="1" applyProtection="1">
      <alignment horizontal="center" vertical="center"/>
      <protection locked="0"/>
    </xf>
    <xf numFmtId="0" fontId="52" fillId="0" borderId="0" xfId="0" applyFont="1" applyAlignment="1" applyProtection="1">
      <alignment horizontal="center"/>
      <protection locked="0"/>
    </xf>
    <xf numFmtId="0" fontId="52" fillId="0" borderId="12" xfId="0" applyFont="1" applyBorder="1" applyAlignment="1">
      <alignment horizontal="left" vertical="center" wrapText="1"/>
    </xf>
    <xf numFmtId="0" fontId="52" fillId="0" borderId="12" xfId="0" applyFont="1" applyBorder="1" applyAlignment="1" applyProtection="1">
      <alignment horizontal="left" vertical="center" indent="2"/>
      <protection locked="0"/>
    </xf>
    <xf numFmtId="0" fontId="52" fillId="24" borderId="13" xfId="53" applyFont="1" applyFill="1" applyBorder="1" applyAlignment="1">
      <alignment horizontal="center" vertical="center"/>
    </xf>
    <xf numFmtId="0" fontId="52" fillId="24" borderId="22" xfId="0" applyFont="1" applyFill="1" applyBorder="1" applyAlignment="1">
      <alignment horizontal="center" vertical="center"/>
    </xf>
    <xf numFmtId="0" fontId="52" fillId="24" borderId="22" xfId="0" applyFont="1" applyFill="1" applyBorder="1" applyAlignment="1">
      <alignment horizontal="left" vertical="center" wrapText="1"/>
    </xf>
    <xf numFmtId="0" fontId="52" fillId="24" borderId="22" xfId="0" applyFont="1" applyFill="1" applyBorder="1" applyAlignment="1" applyProtection="1">
      <alignment horizontal="left" vertical="center" indent="2"/>
      <protection locked="0"/>
    </xf>
    <xf numFmtId="0" fontId="52" fillId="24" borderId="22" xfId="121" applyFont="1" applyFill="1" applyBorder="1" applyAlignment="1" applyProtection="1">
      <alignment horizontal="left" vertical="center"/>
      <protection locked="0"/>
    </xf>
    <xf numFmtId="0" fontId="52" fillId="24" borderId="28" xfId="55" applyFont="1" applyFill="1" applyBorder="1" applyAlignment="1" applyProtection="1">
      <alignment horizontal="center" vertical="center"/>
      <protection locked="0"/>
    </xf>
    <xf numFmtId="0" fontId="52" fillId="0" borderId="14" xfId="53" applyFont="1" applyBorder="1" applyAlignment="1">
      <alignment horizontal="center" vertical="center"/>
    </xf>
    <xf numFmtId="0" fontId="52" fillId="0" borderId="14" xfId="0" applyFont="1" applyBorder="1" applyAlignment="1">
      <alignment horizontal="left" vertical="center" wrapText="1" indent="3"/>
    </xf>
    <xf numFmtId="0" fontId="52" fillId="0" borderId="14" xfId="0" applyFont="1" applyBorder="1" applyAlignment="1" applyProtection="1">
      <alignment horizontal="left" vertical="center" indent="2"/>
      <protection locked="0"/>
    </xf>
    <xf numFmtId="0" fontId="52" fillId="0" borderId="14" xfId="121" applyFont="1" applyBorder="1" applyAlignment="1" applyProtection="1">
      <alignment horizontal="left" vertical="center"/>
      <protection locked="0"/>
    </xf>
    <xf numFmtId="0" fontId="52" fillId="0" borderId="25" xfId="55" applyFont="1" applyBorder="1" applyAlignment="1" applyProtection="1">
      <alignment horizontal="center" vertical="center"/>
      <protection locked="0"/>
    </xf>
    <xf numFmtId="0" fontId="52" fillId="0" borderId="12" xfId="0" applyFont="1" applyBorder="1" applyAlignment="1">
      <alignment horizontal="left" vertical="center" wrapText="1" indent="3"/>
    </xf>
    <xf numFmtId="0" fontId="52" fillId="0" borderId="11" xfId="0" applyFont="1" applyBorder="1" applyAlignment="1">
      <alignment horizontal="left" vertical="center" wrapText="1" indent="3"/>
    </xf>
    <xf numFmtId="0" fontId="52" fillId="0" borderId="11" xfId="0" applyFont="1" applyBorder="1" applyAlignment="1" applyProtection="1">
      <alignment horizontal="left" vertical="center" indent="2"/>
      <protection locked="0"/>
    </xf>
    <xf numFmtId="0" fontId="52" fillId="0" borderId="11" xfId="121" applyFont="1" applyBorder="1" applyAlignment="1" applyProtection="1">
      <alignment horizontal="left" vertical="center"/>
      <protection locked="0"/>
    </xf>
    <xf numFmtId="0" fontId="52" fillId="0" borderId="26" xfId="55" applyFont="1" applyBorder="1" applyAlignment="1" applyProtection="1">
      <alignment horizontal="center" vertical="center"/>
      <protection locked="0"/>
    </xf>
    <xf numFmtId="0" fontId="52" fillId="0" borderId="29" xfId="55" applyFont="1" applyBorder="1" applyAlignment="1" applyProtection="1">
      <alignment horizontal="center" vertical="center"/>
      <protection locked="0"/>
    </xf>
    <xf numFmtId="0" fontId="52" fillId="0" borderId="15" xfId="0" applyFont="1" applyBorder="1" applyAlignment="1">
      <alignment horizontal="left" vertical="center" wrapText="1"/>
    </xf>
    <xf numFmtId="0" fontId="52" fillId="0" borderId="15" xfId="0" applyFont="1" applyBorder="1" applyAlignment="1" applyProtection="1">
      <alignment horizontal="left" vertical="center" indent="2"/>
      <protection locked="0"/>
    </xf>
    <xf numFmtId="0" fontId="52" fillId="0" borderId="15" xfId="121" applyFont="1" applyBorder="1" applyAlignment="1" applyProtection="1">
      <alignment horizontal="left" vertical="center"/>
      <protection locked="0"/>
    </xf>
    <xf numFmtId="0" fontId="42" fillId="0" borderId="15" xfId="55" applyFont="1" applyBorder="1" applyAlignment="1" applyProtection="1">
      <alignment horizontal="center" vertical="center"/>
      <protection locked="0"/>
    </xf>
    <xf numFmtId="0" fontId="52" fillId="0" borderId="0" xfId="55" applyFont="1" applyAlignment="1" applyProtection="1">
      <alignment horizontal="center" vertical="center"/>
      <protection locked="0"/>
    </xf>
    <xf numFmtId="0" fontId="52" fillId="0" borderId="14" xfId="0" applyFont="1" applyBorder="1" applyAlignment="1">
      <alignment horizontal="left" vertical="center" wrapText="1"/>
    </xf>
    <xf numFmtId="0" fontId="42" fillId="0" borderId="0" xfId="0" applyFont="1"/>
    <xf numFmtId="0" fontId="42" fillId="24" borderId="22" xfId="0" applyFont="1" applyFill="1" applyBorder="1" applyAlignment="1">
      <alignment vertical="top"/>
    </xf>
    <xf numFmtId="0" fontId="42" fillId="24" borderId="27" xfId="0" applyFont="1" applyFill="1" applyBorder="1" applyProtection="1">
      <protection locked="0"/>
    </xf>
    <xf numFmtId="0" fontId="42" fillId="24" borderId="30" xfId="0" applyFont="1" applyFill="1" applyBorder="1" applyProtection="1">
      <protection locked="0"/>
    </xf>
    <xf numFmtId="0" fontId="53" fillId="0" borderId="12" xfId="0" applyFont="1" applyBorder="1" applyAlignment="1">
      <alignment vertical="center" wrapText="1"/>
    </xf>
    <xf numFmtId="0" fontId="53" fillId="0" borderId="12" xfId="0" applyFont="1" applyBorder="1" applyAlignment="1" applyProtection="1">
      <alignment horizontal="left" vertical="center"/>
      <protection locked="0"/>
    </xf>
    <xf numFmtId="0" fontId="42" fillId="0" borderId="12" xfId="53" applyFont="1" applyBorder="1" applyAlignment="1" applyProtection="1">
      <alignment horizontal="center" vertical="center"/>
      <protection locked="0"/>
    </xf>
    <xf numFmtId="0" fontId="42" fillId="0" borderId="28" xfId="55" applyFont="1" applyBorder="1" applyAlignment="1" applyProtection="1">
      <alignment horizontal="center" vertical="center"/>
      <protection locked="0"/>
    </xf>
    <xf numFmtId="0" fontId="53" fillId="0" borderId="12" xfId="0" applyFont="1" applyBorder="1" applyAlignment="1" applyProtection="1">
      <alignment horizontal="left" vertical="center" indent="2"/>
      <protection locked="0"/>
    </xf>
    <xf numFmtId="0" fontId="42" fillId="0" borderId="30" xfId="55" applyFont="1" applyBorder="1" applyAlignment="1" applyProtection="1">
      <alignment horizontal="center" vertical="center"/>
      <protection locked="0"/>
    </xf>
    <xf numFmtId="0" fontId="51" fillId="24" borderId="22" xfId="0" applyFont="1" applyFill="1" applyBorder="1" applyAlignment="1">
      <alignment vertical="center" wrapText="1"/>
    </xf>
    <xf numFmtId="0" fontId="53" fillId="24" borderId="22" xfId="0" applyFont="1" applyFill="1" applyBorder="1" applyAlignment="1" applyProtection="1">
      <alignment horizontal="left" vertical="center" indent="2"/>
      <protection locked="0"/>
    </xf>
    <xf numFmtId="0" fontId="42" fillId="24" borderId="22" xfId="53" applyFont="1" applyFill="1" applyBorder="1" applyAlignment="1" applyProtection="1">
      <alignment horizontal="center" vertical="center"/>
      <protection locked="0"/>
    </xf>
    <xf numFmtId="0" fontId="53" fillId="0" borderId="14" xfId="0" applyFont="1" applyBorder="1" applyAlignment="1">
      <alignment horizontal="left" vertical="center" wrapText="1" indent="3"/>
    </xf>
    <xf numFmtId="0" fontId="53" fillId="0" borderId="14" xfId="0" applyFont="1" applyBorder="1" applyAlignment="1" applyProtection="1">
      <alignment horizontal="left" vertical="center" indent="2"/>
      <protection locked="0"/>
    </xf>
    <xf numFmtId="0" fontId="42" fillId="0" borderId="14" xfId="53" applyFont="1" applyBorder="1" applyAlignment="1" applyProtection="1">
      <alignment horizontal="center" vertical="center"/>
      <protection locked="0"/>
    </xf>
    <xf numFmtId="0" fontId="42" fillId="0" borderId="24" xfId="55" applyFont="1" applyBorder="1" applyAlignment="1" applyProtection="1">
      <alignment horizontal="center" vertical="center"/>
      <protection locked="0"/>
    </xf>
    <xf numFmtId="0" fontId="53" fillId="0" borderId="12" xfId="0" applyFont="1" applyBorder="1" applyAlignment="1">
      <alignment horizontal="left" vertical="center" wrapText="1" indent="3"/>
    </xf>
    <xf numFmtId="0" fontId="53" fillId="0" borderId="11" xfId="0" applyFont="1" applyBorder="1" applyAlignment="1">
      <alignment vertical="center" wrapText="1"/>
    </xf>
    <xf numFmtId="0" fontId="53" fillId="0" borderId="11" xfId="0" applyFont="1" applyBorder="1" applyAlignment="1" applyProtection="1">
      <alignment horizontal="left" vertical="center" indent="2"/>
      <protection locked="0"/>
    </xf>
    <xf numFmtId="0" fontId="42" fillId="0" borderId="11" xfId="53" applyFont="1" applyBorder="1" applyAlignment="1" applyProtection="1">
      <alignment horizontal="center" vertical="center"/>
      <protection locked="0"/>
    </xf>
    <xf numFmtId="0" fontId="53" fillId="0" borderId="14" xfId="0" applyFont="1" applyBorder="1" applyAlignment="1">
      <alignment vertical="center" wrapText="1"/>
    </xf>
    <xf numFmtId="0" fontId="42" fillId="0" borderId="0" xfId="53" applyFont="1" applyAlignment="1" applyProtection="1">
      <alignment horizontal="center" vertical="center"/>
      <protection locked="0"/>
    </xf>
    <xf numFmtId="0" fontId="48" fillId="0" borderId="0" xfId="0" applyFont="1"/>
    <xf numFmtId="0" fontId="48" fillId="0" borderId="0" xfId="0" applyFont="1" applyProtection="1">
      <protection locked="0"/>
    </xf>
    <xf numFmtId="0" fontId="42" fillId="24" borderId="27" xfId="0" applyFont="1" applyFill="1" applyBorder="1" applyAlignment="1" applyProtection="1">
      <alignment vertical="top"/>
      <protection locked="0"/>
    </xf>
    <xf numFmtId="0" fontId="42" fillId="0" borderId="14" xfId="53" applyFont="1" applyBorder="1" applyAlignment="1">
      <alignment horizontal="center" vertical="center"/>
    </xf>
    <xf numFmtId="0" fontId="42" fillId="0" borderId="15" xfId="0" applyFont="1" applyBorder="1" applyAlignment="1">
      <alignment horizontal="center" vertical="center" wrapText="1"/>
    </xf>
    <xf numFmtId="0" fontId="42" fillId="0" borderId="0" xfId="0" applyFont="1" applyAlignment="1">
      <alignment horizontal="left" vertical="center"/>
    </xf>
    <xf numFmtId="0" fontId="42" fillId="0" borderId="0" xfId="0" applyFont="1" applyAlignment="1" applyProtection="1">
      <alignment horizontal="left" vertical="center"/>
      <protection locked="0"/>
    </xf>
    <xf numFmtId="0" fontId="42" fillId="0" borderId="0" xfId="121" applyFont="1" applyAlignment="1" applyProtection="1">
      <alignment horizontal="left" vertical="center"/>
      <protection locked="0"/>
    </xf>
    <xf numFmtId="0" fontId="42" fillId="0" borderId="0" xfId="55" applyFont="1" applyAlignment="1" applyProtection="1">
      <alignment horizontal="center" vertical="center"/>
      <protection locked="0"/>
    </xf>
    <xf numFmtId="0" fontId="42" fillId="0" borderId="0" xfId="0" applyFont="1" applyAlignment="1">
      <alignment horizontal="center"/>
    </xf>
    <xf numFmtId="0" fontId="46" fillId="24" borderId="13" xfId="0" applyFont="1" applyFill="1" applyBorder="1" applyAlignment="1">
      <alignment vertical="top"/>
    </xf>
    <xf numFmtId="0" fontId="50" fillId="24" borderId="22" xfId="0" applyFont="1" applyFill="1" applyBorder="1" applyAlignment="1">
      <alignment horizontal="center" vertical="top"/>
    </xf>
    <xf numFmtId="0" fontId="42" fillId="24" borderId="28" xfId="0" applyFont="1" applyFill="1" applyBorder="1" applyProtection="1">
      <protection locked="0"/>
    </xf>
    <xf numFmtId="0" fontId="42" fillId="0" borderId="14" xfId="0" applyFont="1" applyBorder="1" applyAlignment="1">
      <alignment vertical="center" wrapText="1"/>
    </xf>
    <xf numFmtId="0" fontId="42" fillId="0" borderId="14" xfId="0" applyFont="1" applyBorder="1" applyAlignment="1" applyProtection="1">
      <alignment horizontal="left" vertical="center" indent="2"/>
      <protection locked="0"/>
    </xf>
    <xf numFmtId="0" fontId="42" fillId="0" borderId="11" xfId="0" applyFont="1" applyBorder="1" applyAlignment="1">
      <alignment vertical="center" wrapText="1"/>
    </xf>
    <xf numFmtId="0" fontId="42" fillId="0" borderId="31" xfId="55" applyFont="1" applyBorder="1" applyAlignment="1" applyProtection="1">
      <alignment horizontal="center" vertical="center"/>
      <protection locked="0"/>
    </xf>
    <xf numFmtId="0" fontId="42" fillId="0" borderId="11" xfId="0" applyFont="1" applyBorder="1" applyAlignment="1">
      <alignment horizontal="left" vertical="center" wrapText="1" indent="3"/>
    </xf>
    <xf numFmtId="0" fontId="42" fillId="0" borderId="15" xfId="0" applyFont="1" applyBorder="1" applyAlignment="1">
      <alignment vertical="center" wrapText="1"/>
    </xf>
    <xf numFmtId="0" fontId="42" fillId="0" borderId="14" xfId="0" applyFont="1" applyBorder="1" applyAlignment="1">
      <alignment horizontal="center" wrapText="1"/>
    </xf>
    <xf numFmtId="0" fontId="42" fillId="0" borderId="11" xfId="0" applyFont="1" applyBorder="1" applyAlignment="1">
      <alignment horizontal="center" wrapText="1"/>
    </xf>
    <xf numFmtId="0" fontId="42" fillId="24" borderId="22" xfId="0" applyFont="1" applyFill="1" applyBorder="1" applyAlignment="1">
      <alignment horizontal="center"/>
    </xf>
    <xf numFmtId="0" fontId="42" fillId="0" borderId="14" xfId="0" applyFont="1" applyBorder="1" applyAlignment="1">
      <alignment horizontal="left" vertical="center" wrapText="1" indent="3"/>
    </xf>
    <xf numFmtId="0" fontId="42" fillId="0" borderId="12" xfId="0" applyFont="1" applyBorder="1" applyAlignment="1">
      <alignment horizontal="center" wrapText="1"/>
    </xf>
    <xf numFmtId="0" fontId="46" fillId="24" borderId="31" xfId="0" applyFont="1" applyFill="1" applyBorder="1" applyAlignment="1">
      <alignment vertical="top"/>
    </xf>
    <xf numFmtId="0" fontId="42" fillId="24" borderId="0" xfId="0" applyFont="1" applyFill="1" applyAlignment="1">
      <alignment vertical="top"/>
    </xf>
    <xf numFmtId="0" fontId="42" fillId="24" borderId="0" xfId="0" applyFont="1" applyFill="1" applyAlignment="1" applyProtection="1">
      <alignment vertical="top"/>
      <protection locked="0"/>
    </xf>
    <xf numFmtId="0" fontId="42" fillId="24" borderId="0" xfId="0" applyFont="1" applyFill="1" applyProtection="1">
      <protection locked="0"/>
    </xf>
    <xf numFmtId="0" fontId="42" fillId="24" borderId="27" xfId="0" applyFont="1" applyFill="1" applyBorder="1" applyAlignment="1">
      <alignment horizontal="center" vertical="center"/>
    </xf>
    <xf numFmtId="0" fontId="42" fillId="24" borderId="27" xfId="55" applyFont="1" applyFill="1" applyBorder="1" applyAlignment="1" applyProtection="1">
      <alignment horizontal="center" vertical="center"/>
      <protection locked="0"/>
    </xf>
    <xf numFmtId="0" fontId="42" fillId="24" borderId="22" xfId="0" applyFont="1" applyFill="1" applyBorder="1" applyAlignment="1">
      <alignment vertical="center" wrapText="1"/>
    </xf>
    <xf numFmtId="0" fontId="50" fillId="24" borderId="13" xfId="0" applyFont="1" applyFill="1" applyBorder="1" applyAlignment="1">
      <alignment horizontal="center" vertical="center"/>
    </xf>
    <xf numFmtId="0" fontId="54" fillId="24" borderId="22" xfId="0" applyFont="1" applyFill="1" applyBorder="1" applyAlignment="1">
      <alignment horizontal="center" vertical="center"/>
    </xf>
    <xf numFmtId="0" fontId="52" fillId="0" borderId="11" xfId="53" applyFont="1" applyBorder="1" applyAlignment="1">
      <alignment horizontal="center" vertical="center"/>
    </xf>
    <xf numFmtId="0" fontId="52" fillId="0" borderId="11" xfId="0" applyFont="1" applyBorder="1" applyAlignment="1">
      <alignment horizontal="center" vertical="center" wrapText="1"/>
    </xf>
    <xf numFmtId="0" fontId="52" fillId="0" borderId="11" xfId="0" applyFont="1" applyBorder="1" applyAlignment="1">
      <alignment horizontal="left" vertical="center" wrapText="1"/>
    </xf>
    <xf numFmtId="0" fontId="52" fillId="0" borderId="11" xfId="0" applyFont="1" applyBorder="1" applyAlignment="1" applyProtection="1">
      <alignment horizontal="left" vertical="center"/>
      <protection locked="0"/>
    </xf>
    <xf numFmtId="0" fontId="52" fillId="0" borderId="11" xfId="55" applyFont="1" applyBorder="1" applyAlignment="1" applyProtection="1">
      <alignment horizontal="center" vertical="center"/>
      <protection locked="0"/>
    </xf>
    <xf numFmtId="0" fontId="52" fillId="24" borderId="22" xfId="0" applyFont="1" applyFill="1" applyBorder="1" applyAlignment="1" applyProtection="1">
      <alignment horizontal="left" vertical="center"/>
      <protection locked="0"/>
    </xf>
    <xf numFmtId="0" fontId="52" fillId="0" borderId="14" xfId="0" applyFont="1" applyBorder="1" applyAlignment="1" applyProtection="1">
      <alignment horizontal="left" vertical="center"/>
      <protection locked="0"/>
    </xf>
    <xf numFmtId="0" fontId="52" fillId="0" borderId="14" xfId="55" applyFont="1" applyBorder="1" applyAlignment="1" applyProtection="1">
      <alignment horizontal="center" vertical="center"/>
      <protection locked="0"/>
    </xf>
    <xf numFmtId="0" fontId="52" fillId="0" borderId="12" xfId="0" applyFont="1" applyBorder="1" applyAlignment="1">
      <alignment horizontal="center" vertical="center" wrapText="1"/>
    </xf>
    <xf numFmtId="0" fontId="52" fillId="0" borderId="12" xfId="0" applyFont="1" applyBorder="1" applyAlignment="1" applyProtection="1">
      <alignment horizontal="left" vertical="center"/>
      <protection locked="0"/>
    </xf>
    <xf numFmtId="0" fontId="52" fillId="0" borderId="12" xfId="55" applyFont="1" applyBorder="1" applyAlignment="1" applyProtection="1">
      <alignment horizontal="center" vertical="center"/>
      <protection locked="0"/>
    </xf>
    <xf numFmtId="0" fontId="52" fillId="28" borderId="0" xfId="0" applyFont="1" applyFill="1" applyProtection="1">
      <protection locked="0"/>
    </xf>
    <xf numFmtId="0" fontId="52" fillId="0" borderId="30" xfId="55" applyFont="1" applyBorder="1" applyAlignment="1" applyProtection="1">
      <alignment horizontal="center" vertical="center"/>
      <protection locked="0"/>
    </xf>
    <xf numFmtId="0" fontId="52" fillId="0" borderId="24" xfId="55" applyFont="1" applyBorder="1" applyAlignment="1" applyProtection="1">
      <alignment horizontal="center" vertical="center"/>
      <protection locked="0"/>
    </xf>
    <xf numFmtId="0" fontId="52" fillId="0" borderId="28" xfId="55" applyFont="1" applyBorder="1" applyAlignment="1" applyProtection="1">
      <alignment horizontal="center" vertical="center"/>
      <protection locked="0"/>
    </xf>
    <xf numFmtId="0" fontId="42" fillId="25" borderId="0" xfId="0" applyFont="1" applyFill="1" applyProtection="1">
      <protection locked="0"/>
    </xf>
    <xf numFmtId="0" fontId="52" fillId="24" borderId="26" xfId="53" applyFont="1" applyFill="1" applyBorder="1" applyAlignment="1">
      <alignment horizontal="center" vertical="center"/>
    </xf>
    <xf numFmtId="0" fontId="52" fillId="24" borderId="27" xfId="0" applyFont="1" applyFill="1" applyBorder="1" applyAlignment="1">
      <alignment horizontal="center" vertical="center"/>
    </xf>
    <xf numFmtId="0" fontId="52" fillId="24" borderId="27" xfId="0" applyFont="1" applyFill="1" applyBorder="1" applyAlignment="1">
      <alignment horizontal="left" vertical="center" wrapText="1"/>
    </xf>
    <xf numFmtId="0" fontId="52" fillId="24" borderId="27" xfId="0" applyFont="1" applyFill="1" applyBorder="1" applyAlignment="1" applyProtection="1">
      <alignment horizontal="left" vertical="center" indent="2"/>
      <protection locked="0"/>
    </xf>
    <xf numFmtId="0" fontId="52" fillId="24" borderId="27" xfId="121" applyFont="1" applyFill="1" applyBorder="1" applyAlignment="1" applyProtection="1">
      <alignment horizontal="left" vertical="center"/>
      <protection locked="0"/>
    </xf>
    <xf numFmtId="0" fontId="52" fillId="24" borderId="30" xfId="55" applyFont="1" applyFill="1" applyBorder="1" applyAlignment="1" applyProtection="1">
      <alignment horizontal="center" vertical="center"/>
      <protection locked="0"/>
    </xf>
    <xf numFmtId="0" fontId="52" fillId="0" borderId="15" xfId="0" applyFont="1" applyBorder="1" applyAlignment="1">
      <alignment horizontal="center" vertical="center" wrapText="1"/>
    </xf>
    <xf numFmtId="0" fontId="52" fillId="0" borderId="15" xfId="0" applyFont="1" applyBorder="1" applyAlignment="1">
      <alignment horizontal="left" vertical="center" wrapText="1" indent="3"/>
    </xf>
    <xf numFmtId="0" fontId="50" fillId="24" borderId="26" xfId="0" applyFont="1" applyFill="1" applyBorder="1" applyAlignment="1">
      <alignment horizontal="left" vertical="center"/>
    </xf>
    <xf numFmtId="0" fontId="50" fillId="24" borderId="27" xfId="0" applyFont="1" applyFill="1" applyBorder="1" applyAlignment="1">
      <alignment horizontal="center" vertical="center"/>
    </xf>
    <xf numFmtId="0" fontId="42" fillId="24" borderId="27" xfId="0" applyFont="1" applyFill="1" applyBorder="1" applyAlignment="1">
      <alignment horizontal="left" vertical="top"/>
    </xf>
    <xf numFmtId="0" fontId="42" fillId="24" borderId="13" xfId="53" applyFont="1" applyFill="1" applyBorder="1" applyAlignment="1">
      <alignment horizontal="center" vertical="center"/>
    </xf>
    <xf numFmtId="0" fontId="42" fillId="24" borderId="22" xfId="0" applyFont="1" applyFill="1" applyBorder="1" applyAlignment="1">
      <alignment horizontal="left" vertical="top" wrapText="1"/>
    </xf>
    <xf numFmtId="0" fontId="42" fillId="0" borderId="15" xfId="53" applyFont="1" applyBorder="1" applyAlignment="1">
      <alignment horizontal="center" vertical="center"/>
    </xf>
    <xf numFmtId="0" fontId="42" fillId="0" borderId="15" xfId="0" applyFont="1" applyBorder="1" applyAlignment="1">
      <alignment horizontal="left" vertical="center" wrapText="1"/>
    </xf>
    <xf numFmtId="0" fontId="42" fillId="0" borderId="14" xfId="0" applyFont="1" applyBorder="1" applyAlignment="1">
      <alignment horizontal="left" vertical="center" wrapText="1" indent="2"/>
    </xf>
    <xf numFmtId="0" fontId="42" fillId="28" borderId="0" xfId="0" applyFont="1" applyFill="1" applyProtection="1">
      <protection locked="0"/>
    </xf>
    <xf numFmtId="0" fontId="42" fillId="0" borderId="11" xfId="0" applyFont="1" applyBorder="1" applyAlignment="1">
      <alignment horizontal="left" vertical="center" wrapText="1" indent="2"/>
    </xf>
    <xf numFmtId="0" fontId="42" fillId="0" borderId="11" xfId="0" applyFont="1" applyBorder="1" applyAlignment="1" applyProtection="1">
      <alignment horizontal="left" vertical="center"/>
      <protection locked="0"/>
    </xf>
    <xf numFmtId="0" fontId="42" fillId="0" borderId="12" xfId="53" applyFont="1" applyBorder="1" applyAlignment="1">
      <alignment horizontal="left" vertical="center" wrapText="1" indent="3"/>
    </xf>
    <xf numFmtId="0" fontId="42" fillId="0" borderId="12" xfId="53" applyFont="1" applyBorder="1" applyAlignment="1">
      <alignment horizontal="left" vertical="center" wrapText="1"/>
    </xf>
    <xf numFmtId="0" fontId="42" fillId="0" borderId="12" xfId="0" applyFont="1" applyBorder="1" applyProtection="1">
      <protection locked="0"/>
    </xf>
    <xf numFmtId="0" fontId="42" fillId="0" borderId="11" xfId="0" applyFont="1" applyBorder="1" applyProtection="1">
      <protection locked="0"/>
    </xf>
    <xf numFmtId="0" fontId="42" fillId="0" borderId="14" xfId="0" applyFont="1" applyBorder="1" applyProtection="1">
      <protection locked="0"/>
    </xf>
    <xf numFmtId="0" fontId="52" fillId="0" borderId="0" xfId="0" applyFont="1" applyAlignment="1" applyProtection="1">
      <alignment horizontal="center" vertical="center"/>
      <protection locked="0"/>
    </xf>
    <xf numFmtId="0" fontId="55" fillId="24" borderId="13" xfId="0" applyFont="1" applyFill="1" applyBorder="1" applyAlignment="1">
      <alignment horizontal="left" vertical="center"/>
    </xf>
    <xf numFmtId="0" fontId="52" fillId="0" borderId="14" xfId="0" applyFont="1" applyBorder="1" applyAlignment="1" applyProtection="1">
      <alignment horizontal="center" vertical="center"/>
      <protection locked="0"/>
    </xf>
    <xf numFmtId="0" fontId="52" fillId="0" borderId="12" xfId="0" applyFont="1" applyBorder="1" applyAlignment="1" applyProtection="1">
      <alignment horizontal="center" vertical="center"/>
      <protection locked="0"/>
    </xf>
    <xf numFmtId="0" fontId="52" fillId="0" borderId="0" xfId="0" applyFont="1" applyAlignment="1">
      <alignment vertical="center"/>
    </xf>
    <xf numFmtId="0" fontId="56" fillId="0" borderId="0" xfId="0" applyFont="1" applyAlignment="1" applyProtection="1">
      <alignment horizontal="center" vertical="center"/>
      <protection locked="0"/>
    </xf>
    <xf numFmtId="0" fontId="52" fillId="24" borderId="22" xfId="0" applyFont="1" applyFill="1" applyBorder="1" applyAlignment="1">
      <alignment vertical="center"/>
    </xf>
    <xf numFmtId="0" fontId="52" fillId="0" borderId="12" xfId="0" applyFont="1" applyBorder="1" applyAlignment="1">
      <alignment vertical="center" wrapText="1"/>
    </xf>
    <xf numFmtId="0" fontId="52" fillId="0" borderId="11" xfId="0" applyFont="1" applyBorder="1" applyAlignment="1">
      <alignment vertical="center" wrapText="1"/>
    </xf>
    <xf numFmtId="0" fontId="47" fillId="24" borderId="22" xfId="0" applyFont="1" applyFill="1" applyBorder="1" applyAlignment="1">
      <alignment horizontal="left" vertical="center" wrapText="1"/>
    </xf>
    <xf numFmtId="0" fontId="42" fillId="0" borderId="12" xfId="0" applyFont="1" applyBorder="1" applyAlignment="1">
      <alignment horizontal="left" vertical="center" wrapText="1" indent="4"/>
    </xf>
    <xf numFmtId="0" fontId="52" fillId="0" borderId="12" xfId="0" applyFont="1" applyBorder="1" applyAlignment="1">
      <alignment horizontal="left" vertical="center" wrapText="1" indent="4"/>
    </xf>
    <xf numFmtId="0" fontId="52" fillId="0" borderId="15" xfId="55" applyFont="1" applyBorder="1" applyAlignment="1" applyProtection="1">
      <alignment horizontal="center" vertical="center"/>
      <protection locked="0"/>
    </xf>
    <xf numFmtId="0" fontId="52" fillId="24" borderId="13" xfId="0" applyFont="1" applyFill="1" applyBorder="1" applyAlignment="1">
      <alignment horizontal="center" vertical="center"/>
    </xf>
    <xf numFmtId="0" fontId="52" fillId="0" borderId="0" xfId="0" applyFont="1" applyAlignment="1">
      <alignment vertical="center" wrapText="1"/>
    </xf>
    <xf numFmtId="0" fontId="42" fillId="0" borderId="11" xfId="0" applyFont="1" applyBorder="1" applyAlignment="1" applyProtection="1">
      <alignment vertical="center"/>
      <protection locked="0"/>
    </xf>
    <xf numFmtId="0" fontId="57" fillId="24" borderId="22" xfId="0" applyFont="1" applyFill="1" applyBorder="1" applyAlignment="1">
      <alignment horizontal="left" vertical="center" wrapText="1"/>
    </xf>
    <xf numFmtId="0" fontId="43" fillId="27" borderId="10" xfId="0" applyFont="1" applyFill="1" applyBorder="1" applyAlignment="1">
      <alignment horizontal="center" vertical="center" textRotation="90" wrapText="1"/>
    </xf>
    <xf numFmtId="0" fontId="42" fillId="24" borderId="22" xfId="0" applyFont="1" applyFill="1" applyBorder="1" applyAlignment="1">
      <alignment horizontal="left" vertical="center"/>
    </xf>
    <xf numFmtId="0" fontId="48" fillId="0" borderId="0" xfId="0" applyFont="1" applyAlignment="1" applyProtection="1">
      <alignment horizontal="center"/>
      <protection locked="0"/>
    </xf>
    <xf numFmtId="0" fontId="42" fillId="0" borderId="12" xfId="0" applyFont="1" applyBorder="1" applyAlignment="1" applyProtection="1">
      <alignment vertical="center"/>
      <protection locked="0"/>
    </xf>
    <xf numFmtId="0" fontId="42" fillId="0" borderId="27" xfId="0" applyFont="1" applyBorder="1" applyAlignment="1">
      <alignment horizontal="left" vertical="center" wrapText="1"/>
    </xf>
    <xf numFmtId="0" fontId="42" fillId="0" borderId="27" xfId="121" applyFont="1" applyBorder="1" applyAlignment="1" applyProtection="1">
      <alignment horizontal="left" vertical="center"/>
      <protection locked="0"/>
    </xf>
    <xf numFmtId="0" fontId="42" fillId="0" borderId="11" xfId="53" applyFont="1" applyBorder="1" applyAlignment="1">
      <alignment horizontal="center" vertical="center"/>
    </xf>
    <xf numFmtId="0" fontId="48" fillId="0" borderId="11" xfId="0" applyFont="1" applyBorder="1" applyAlignment="1" applyProtection="1">
      <alignment horizontal="left" vertical="center" indent="2"/>
      <protection locked="0"/>
    </xf>
    <xf numFmtId="0" fontId="48" fillId="24" borderId="22" xfId="0" applyFont="1" applyFill="1" applyBorder="1" applyAlignment="1" applyProtection="1">
      <alignment horizontal="left" vertical="center" indent="2"/>
      <protection locked="0"/>
    </xf>
    <xf numFmtId="0" fontId="42" fillId="0" borderId="0" xfId="0" applyFont="1" applyAlignment="1" applyProtection="1">
      <alignment horizontal="left" vertical="center" indent="2"/>
      <protection locked="0"/>
    </xf>
    <xf numFmtId="0" fontId="52" fillId="0" borderId="0" xfId="0" applyFont="1" applyAlignment="1">
      <alignment horizontal="left" vertical="center"/>
    </xf>
    <xf numFmtId="0" fontId="52" fillId="24" borderId="22" xfId="0" applyFont="1" applyFill="1" applyBorder="1" applyAlignment="1">
      <alignment horizontal="left" vertical="center"/>
    </xf>
    <xf numFmtId="0" fontId="52" fillId="0" borderId="15" xfId="0" applyFont="1" applyBorder="1" applyAlignment="1" applyProtection="1">
      <alignment horizontal="left" vertical="center"/>
      <protection locked="0"/>
    </xf>
    <xf numFmtId="0" fontId="52" fillId="0" borderId="0" xfId="0" applyFont="1" applyAlignment="1" applyProtection="1">
      <alignment horizontal="left" vertical="center"/>
      <protection locked="0"/>
    </xf>
    <xf numFmtId="0" fontId="52" fillId="0" borderId="0" xfId="0" applyFont="1" applyAlignment="1" applyProtection="1">
      <alignment horizontal="left" vertical="center" indent="2"/>
      <protection locked="0"/>
    </xf>
    <xf numFmtId="0" fontId="52" fillId="24" borderId="27" xfId="0" applyFont="1" applyFill="1" applyBorder="1" applyAlignment="1">
      <alignment vertical="center"/>
    </xf>
    <xf numFmtId="0" fontId="52" fillId="24" borderId="27" xfId="0" applyFont="1" applyFill="1" applyBorder="1" applyAlignment="1" applyProtection="1">
      <alignment vertical="top"/>
      <protection locked="0"/>
    </xf>
    <xf numFmtId="0" fontId="52" fillId="24" borderId="27" xfId="0" applyFont="1" applyFill="1" applyBorder="1" applyProtection="1">
      <protection locked="0"/>
    </xf>
    <xf numFmtId="0" fontId="52" fillId="24" borderId="22" xfId="0" applyFont="1" applyFill="1" applyBorder="1" applyAlignment="1">
      <alignment vertical="center" wrapText="1"/>
    </xf>
    <xf numFmtId="0" fontId="52" fillId="0" borderId="14" xfId="0" applyFont="1" applyBorder="1" applyAlignment="1">
      <alignment vertical="center" wrapText="1"/>
    </xf>
    <xf numFmtId="0" fontId="43" fillId="27" borderId="10" xfId="55" applyFont="1" applyFill="1" applyBorder="1" applyAlignment="1">
      <alignment horizontal="center" vertical="center" wrapText="1"/>
    </xf>
    <xf numFmtId="0" fontId="43" fillId="27" borderId="10" xfId="55" applyFont="1" applyFill="1" applyBorder="1" applyAlignment="1" applyProtection="1">
      <alignment horizontal="center" vertical="center"/>
      <protection locked="0"/>
    </xf>
    <xf numFmtId="0" fontId="43" fillId="27" borderId="10" xfId="55" applyFont="1" applyFill="1" applyBorder="1" applyAlignment="1" applyProtection="1">
      <alignment horizontal="center" vertical="center" textRotation="90" wrapText="1"/>
      <protection locked="0"/>
    </xf>
    <xf numFmtId="0" fontId="46" fillId="24" borderId="13" xfId="55" applyFont="1" applyFill="1" applyBorder="1" applyAlignment="1">
      <alignment horizontal="left" vertical="center"/>
    </xf>
    <xf numFmtId="0" fontId="50" fillId="24" borderId="22" xfId="0" applyFont="1" applyFill="1" applyBorder="1" applyAlignment="1">
      <alignment horizontal="center" vertical="center" wrapText="1"/>
    </xf>
    <xf numFmtId="0" fontId="45" fillId="24" borderId="22" xfId="55" applyFont="1" applyFill="1" applyBorder="1" applyAlignment="1">
      <alignment vertical="center"/>
    </xf>
    <xf numFmtId="0" fontId="45" fillId="24" borderId="22" xfId="55" applyFont="1" applyFill="1" applyBorder="1" applyAlignment="1" applyProtection="1">
      <alignment horizontal="left" vertical="center"/>
      <protection locked="0"/>
    </xf>
    <xf numFmtId="0" fontId="42" fillId="0" borderId="12" xfId="55" applyFont="1" applyBorder="1" applyAlignment="1">
      <alignment horizontal="center" vertical="center"/>
    </xf>
    <xf numFmtId="0" fontId="42" fillId="0" borderId="12" xfId="55" applyFont="1" applyBorder="1" applyAlignment="1">
      <alignment vertical="center" wrapText="1"/>
    </xf>
    <xf numFmtId="0" fontId="48" fillId="0" borderId="12" xfId="55" applyFont="1" applyBorder="1" applyAlignment="1" applyProtection="1">
      <alignment horizontal="left" vertical="center"/>
      <protection locked="0"/>
    </xf>
    <xf numFmtId="0" fontId="42" fillId="24" borderId="13" xfId="55" applyFont="1" applyFill="1" applyBorder="1" applyAlignment="1">
      <alignment horizontal="center" vertical="center"/>
    </xf>
    <xf numFmtId="0" fontId="42" fillId="26" borderId="11" xfId="86" applyFont="1" applyFill="1" applyBorder="1" applyAlignment="1">
      <alignment horizontal="left" vertical="center" wrapText="1" indent="3"/>
    </xf>
    <xf numFmtId="0" fontId="42" fillId="26" borderId="11" xfId="86" applyFont="1" applyFill="1" applyBorder="1" applyAlignment="1" applyProtection="1">
      <alignment horizontal="left" vertical="center"/>
      <protection locked="0"/>
    </xf>
    <xf numFmtId="49" fontId="42" fillId="26" borderId="12" xfId="0" applyNumberFormat="1" applyFont="1" applyFill="1" applyBorder="1" applyAlignment="1">
      <alignment horizontal="left" vertical="center" wrapText="1" indent="3"/>
    </xf>
    <xf numFmtId="49" fontId="42" fillId="26" borderId="12" xfId="0" applyNumberFormat="1" applyFont="1" applyFill="1" applyBorder="1" applyAlignment="1" applyProtection="1">
      <alignment horizontal="left" vertical="center" indent="2"/>
      <protection locked="0"/>
    </xf>
    <xf numFmtId="49" fontId="42" fillId="26" borderId="14" xfId="0" applyNumberFormat="1" applyFont="1" applyFill="1" applyBorder="1" applyAlignment="1">
      <alignment vertical="center" wrapText="1"/>
    </xf>
    <xf numFmtId="49" fontId="42" fillId="26" borderId="14" xfId="0" applyNumberFormat="1" applyFont="1" applyFill="1" applyBorder="1" applyAlignment="1" applyProtection="1">
      <alignment horizontal="left" vertical="center" indent="2"/>
      <protection locked="0"/>
    </xf>
    <xf numFmtId="49" fontId="42" fillId="26" borderId="11" xfId="0" applyNumberFormat="1" applyFont="1" applyFill="1" applyBorder="1" applyAlignment="1">
      <alignment vertical="center" wrapText="1"/>
    </xf>
    <xf numFmtId="49" fontId="42" fillId="26" borderId="11" xfId="0" applyNumberFormat="1" applyFont="1" applyFill="1" applyBorder="1" applyAlignment="1" applyProtection="1">
      <alignment horizontal="left" vertical="center" indent="2"/>
      <protection locked="0"/>
    </xf>
    <xf numFmtId="49" fontId="51" fillId="24" borderId="22" xfId="0" applyNumberFormat="1" applyFont="1" applyFill="1" applyBorder="1" applyAlignment="1">
      <alignment vertical="center" wrapText="1"/>
    </xf>
    <xf numFmtId="49" fontId="42" fillId="24" borderId="22" xfId="0" applyNumberFormat="1" applyFont="1" applyFill="1" applyBorder="1" applyAlignment="1" applyProtection="1">
      <alignment horizontal="left" vertical="center" indent="2"/>
      <protection locked="0"/>
    </xf>
    <xf numFmtId="49" fontId="42" fillId="26" borderId="14" xfId="0" applyNumberFormat="1" applyFont="1" applyFill="1" applyBorder="1" applyAlignment="1">
      <alignment horizontal="left" vertical="center" wrapText="1"/>
    </xf>
    <xf numFmtId="0" fontId="49" fillId="0" borderId="14" xfId="0" applyFont="1" applyBorder="1" applyProtection="1">
      <protection locked="0"/>
    </xf>
    <xf numFmtId="49" fontId="42" fillId="26" borderId="12" xfId="0" applyNumberFormat="1" applyFont="1" applyFill="1" applyBorder="1" applyAlignment="1">
      <alignment vertical="center" wrapText="1"/>
    </xf>
    <xf numFmtId="0" fontId="49" fillId="0" borderId="12" xfId="0" applyFont="1" applyBorder="1" applyProtection="1">
      <protection locked="0"/>
    </xf>
    <xf numFmtId="49" fontId="42" fillId="26" borderId="15" xfId="0" applyNumberFormat="1" applyFont="1" applyFill="1" applyBorder="1" applyAlignment="1">
      <alignment vertical="center" wrapText="1"/>
    </xf>
    <xf numFmtId="0" fontId="42" fillId="0" borderId="15" xfId="0" applyFont="1" applyBorder="1" applyProtection="1">
      <protection locked="0"/>
    </xf>
    <xf numFmtId="0" fontId="52" fillId="0" borderId="0" xfId="55" applyFont="1" applyAlignment="1">
      <alignment horizontal="center" vertical="center"/>
    </xf>
    <xf numFmtId="0" fontId="52" fillId="0" borderId="0" xfId="55" applyFont="1" applyAlignment="1">
      <alignment vertical="center"/>
    </xf>
    <xf numFmtId="0" fontId="52" fillId="0" borderId="0" xfId="55" applyFont="1" applyAlignment="1" applyProtection="1">
      <alignment vertical="center"/>
      <protection locked="0"/>
    </xf>
    <xf numFmtId="0" fontId="52" fillId="0" borderId="0" xfId="55" applyFont="1" applyProtection="1">
      <protection locked="0"/>
    </xf>
    <xf numFmtId="0" fontId="58" fillId="27" borderId="10" xfId="0" applyFont="1" applyFill="1" applyBorder="1" applyAlignment="1" applyProtection="1">
      <alignment horizontal="center" vertical="center" textRotation="90"/>
      <protection locked="0"/>
    </xf>
    <xf numFmtId="0" fontId="58" fillId="27" borderId="10" xfId="0" applyFont="1" applyFill="1" applyBorder="1" applyAlignment="1" applyProtection="1">
      <alignment horizontal="center" vertical="center" textRotation="90" wrapText="1"/>
      <protection locked="0"/>
    </xf>
    <xf numFmtId="0" fontId="59" fillId="0" borderId="0" xfId="55" applyFont="1" applyAlignment="1" applyProtection="1">
      <alignment vertical="center"/>
      <protection locked="0"/>
    </xf>
    <xf numFmtId="0" fontId="60" fillId="24" borderId="26" xfId="55" applyFont="1" applyFill="1" applyBorder="1" applyAlignment="1">
      <alignment horizontal="left" vertical="center"/>
    </xf>
    <xf numFmtId="0" fontId="54" fillId="24" borderId="27" xfId="0" applyFont="1" applyFill="1" applyBorder="1" applyAlignment="1">
      <alignment horizontal="center" vertical="center"/>
    </xf>
    <xf numFmtId="0" fontId="59" fillId="24" borderId="27" xfId="55" applyFont="1" applyFill="1" applyBorder="1" applyAlignment="1">
      <alignment vertical="center"/>
    </xf>
    <xf numFmtId="0" fontId="59" fillId="24" borderId="27" xfId="55" applyFont="1" applyFill="1" applyBorder="1" applyAlignment="1" applyProtection="1">
      <alignment horizontal="left" vertical="center"/>
      <protection locked="0"/>
    </xf>
    <xf numFmtId="0" fontId="52" fillId="0" borderId="14" xfId="55" applyFont="1" applyBorder="1" applyAlignment="1">
      <alignment horizontal="center" vertical="center"/>
    </xf>
    <xf numFmtId="0" fontId="52" fillId="0" borderId="15" xfId="55" applyFont="1" applyBorder="1" applyAlignment="1">
      <alignment vertical="center" wrapText="1"/>
    </xf>
    <xf numFmtId="0" fontId="52" fillId="0" borderId="14" xfId="55" applyFont="1" applyBorder="1" applyAlignment="1" applyProtection="1">
      <alignment horizontal="left" vertical="center"/>
      <protection locked="0"/>
    </xf>
    <xf numFmtId="0" fontId="52" fillId="0" borderId="11" xfId="55" applyFont="1" applyBorder="1" applyAlignment="1">
      <alignment vertical="center" wrapText="1"/>
    </xf>
    <xf numFmtId="0" fontId="52" fillId="0" borderId="12" xfId="55" applyFont="1" applyBorder="1" applyAlignment="1" applyProtection="1">
      <alignment horizontal="left" vertical="center"/>
      <protection locked="0"/>
    </xf>
    <xf numFmtId="0" fontId="52" fillId="0" borderId="11" xfId="55" applyFont="1" applyBorder="1" applyAlignment="1" applyProtection="1">
      <alignment horizontal="left" vertical="center"/>
      <protection locked="0"/>
    </xf>
    <xf numFmtId="0" fontId="52" fillId="24" borderId="13" xfId="55" applyFont="1" applyFill="1" applyBorder="1" applyAlignment="1">
      <alignment horizontal="center" vertical="center"/>
    </xf>
    <xf numFmtId="0" fontId="52" fillId="24" borderId="22" xfId="55" applyFont="1" applyFill="1" applyBorder="1" applyAlignment="1">
      <alignment vertical="center" wrapText="1"/>
    </xf>
    <xf numFmtId="0" fontId="52" fillId="24" borderId="22" xfId="55" applyFont="1" applyFill="1" applyBorder="1" applyAlignment="1" applyProtection="1">
      <alignment horizontal="left" vertical="center"/>
      <protection locked="0"/>
    </xf>
    <xf numFmtId="0" fontId="52" fillId="24" borderId="22" xfId="55" applyFont="1" applyFill="1" applyBorder="1" applyAlignment="1" applyProtection="1">
      <alignment horizontal="center" vertical="center"/>
      <protection locked="0"/>
    </xf>
    <xf numFmtId="0" fontId="52" fillId="0" borderId="14" xfId="55" applyFont="1" applyBorder="1" applyAlignment="1">
      <alignment horizontal="left" vertical="center" wrapText="1" indent="3"/>
    </xf>
    <xf numFmtId="0" fontId="52" fillId="0" borderId="12" xfId="55" applyFont="1" applyBorder="1" applyAlignment="1">
      <alignment horizontal="left" vertical="center" wrapText="1" indent="3"/>
    </xf>
    <xf numFmtId="0" fontId="52" fillId="0" borderId="12" xfId="55" applyFont="1" applyBorder="1" applyAlignment="1">
      <alignment horizontal="left" vertical="center" wrapText="1" indent="3" shrinkToFit="1"/>
    </xf>
    <xf numFmtId="0" fontId="52" fillId="0" borderId="12" xfId="55" applyFont="1" applyBorder="1" applyAlignment="1" applyProtection="1">
      <alignment horizontal="left" vertical="center" shrinkToFit="1"/>
      <protection locked="0"/>
    </xf>
    <xf numFmtId="0" fontId="52" fillId="0" borderId="15" xfId="55" applyFont="1" applyBorder="1" applyAlignment="1">
      <alignment horizontal="left" vertical="center" wrapText="1" indent="3" shrinkToFit="1"/>
    </xf>
    <xf numFmtId="0" fontId="52" fillId="0" borderId="14" xfId="55" applyFont="1" applyBorder="1" applyAlignment="1" applyProtection="1">
      <alignment horizontal="left" vertical="center" shrinkToFit="1"/>
      <protection locked="0"/>
    </xf>
    <xf numFmtId="0" fontId="52" fillId="0" borderId="11" xfId="55" applyFont="1" applyBorder="1" applyAlignment="1">
      <alignment vertical="center" wrapText="1" shrinkToFit="1"/>
    </xf>
    <xf numFmtId="0" fontId="52" fillId="0" borderId="12" xfId="55" applyFont="1" applyBorder="1" applyAlignment="1">
      <alignment vertical="center" wrapText="1"/>
    </xf>
    <xf numFmtId="0" fontId="52" fillId="0" borderId="12" xfId="55" applyFont="1" applyBorder="1" applyAlignment="1" applyProtection="1">
      <alignment horizontal="left" vertical="center" indent="2"/>
      <protection locked="0"/>
    </xf>
    <xf numFmtId="0" fontId="52" fillId="0" borderId="31" xfId="55" applyFont="1" applyBorder="1" applyProtection="1">
      <protection locked="0"/>
    </xf>
    <xf numFmtId="0" fontId="52" fillId="0" borderId="11" xfId="55" applyFont="1" applyBorder="1" applyAlignment="1" applyProtection="1">
      <alignment horizontal="left" vertical="center" indent="2"/>
      <protection locked="0"/>
    </xf>
    <xf numFmtId="0" fontId="57" fillId="24" borderId="22" xfId="55" applyFont="1" applyFill="1" applyBorder="1" applyAlignment="1">
      <alignment vertical="center" wrapText="1"/>
    </xf>
    <xf numFmtId="0" fontId="52" fillId="0" borderId="14" xfId="55" applyFont="1" applyBorder="1" applyAlignment="1">
      <alignment vertical="center" wrapText="1"/>
    </xf>
    <xf numFmtId="0" fontId="52" fillId="0" borderId="11" xfId="55" applyFont="1" applyBorder="1" applyAlignment="1">
      <alignment horizontal="left" vertical="center" wrapText="1" indent="3"/>
    </xf>
    <xf numFmtId="0" fontId="52" fillId="0" borderId="11" xfId="55" applyFont="1" applyBorder="1" applyAlignment="1" applyProtection="1">
      <alignment vertical="center"/>
      <protection locked="0"/>
    </xf>
    <xf numFmtId="0" fontId="52" fillId="24" borderId="22" xfId="55" applyFont="1" applyFill="1" applyBorder="1" applyAlignment="1" applyProtection="1">
      <alignment vertical="center"/>
      <protection locked="0"/>
    </xf>
    <xf numFmtId="0" fontId="52" fillId="0" borderId="14" xfId="55" applyFont="1" applyBorder="1" applyAlignment="1" applyProtection="1">
      <alignment vertical="center"/>
      <protection locked="0"/>
    </xf>
    <xf numFmtId="0" fontId="52" fillId="0" borderId="12" xfId="55" applyFont="1" applyBorder="1" applyAlignment="1" applyProtection="1">
      <alignment vertical="center"/>
      <protection locked="0"/>
    </xf>
    <xf numFmtId="0" fontId="59" fillId="0" borderId="0" xfId="0" applyFont="1" applyAlignment="1" applyProtection="1">
      <alignment horizontal="center" vertical="center"/>
      <protection locked="0"/>
    </xf>
    <xf numFmtId="0" fontId="60" fillId="24" borderId="13" xfId="0" applyFont="1" applyFill="1" applyBorder="1" applyAlignment="1">
      <alignment horizontal="left" vertical="center"/>
    </xf>
    <xf numFmtId="0" fontId="52" fillId="24" borderId="28" xfId="0" applyFont="1" applyFill="1" applyBorder="1" applyProtection="1">
      <protection locked="0"/>
    </xf>
    <xf numFmtId="0" fontId="52" fillId="0" borderId="12" xfId="55" applyFont="1" applyBorder="1" applyAlignment="1">
      <alignment horizontal="center" vertical="center" wrapText="1"/>
    </xf>
    <xf numFmtId="0" fontId="52" fillId="0" borderId="31" xfId="55" applyFont="1" applyBorder="1" applyAlignment="1" applyProtection="1">
      <alignment horizontal="center" vertical="center"/>
      <protection locked="0"/>
    </xf>
    <xf numFmtId="0" fontId="52" fillId="24" borderId="27" xfId="0" applyFont="1" applyFill="1" applyBorder="1" applyAlignment="1" applyProtection="1">
      <alignment horizontal="left" vertical="center"/>
      <protection locked="0"/>
    </xf>
    <xf numFmtId="0" fontId="52" fillId="24" borderId="27" xfId="55" applyFont="1" applyFill="1" applyBorder="1" applyAlignment="1" applyProtection="1">
      <alignment horizontal="center" vertical="center"/>
      <protection locked="0"/>
    </xf>
    <xf numFmtId="0" fontId="52" fillId="0" borderId="12" xfId="0" applyFont="1" applyBorder="1" applyAlignment="1">
      <alignment horizontal="left" wrapText="1"/>
    </xf>
    <xf numFmtId="0" fontId="52" fillId="0" borderId="12" xfId="0" applyFont="1" applyBorder="1" applyProtection="1">
      <protection locked="0"/>
    </xf>
    <xf numFmtId="0" fontId="42" fillId="26" borderId="12" xfId="86" applyFont="1" applyFill="1" applyBorder="1" applyAlignment="1">
      <alignment horizontal="left" vertical="center" wrapText="1" indent="3"/>
    </xf>
    <xf numFmtId="49" fontId="42" fillId="26" borderId="14" xfId="0" applyNumberFormat="1" applyFont="1" applyFill="1" applyBorder="1" applyAlignment="1">
      <alignment horizontal="left" vertical="center" wrapText="1" indent="3"/>
    </xf>
    <xf numFmtId="0" fontId="49" fillId="0" borderId="11" xfId="0" applyFont="1" applyBorder="1" applyProtection="1">
      <protection locked="0"/>
    </xf>
    <xf numFmtId="49" fontId="42" fillId="24" borderId="22" xfId="0" applyNumberFormat="1" applyFont="1" applyFill="1" applyBorder="1" applyAlignment="1">
      <alignment vertical="center" wrapText="1"/>
    </xf>
    <xf numFmtId="0" fontId="45" fillId="24" borderId="22" xfId="0" applyFont="1" applyFill="1" applyBorder="1" applyAlignment="1">
      <alignment horizontal="center" vertical="center"/>
    </xf>
    <xf numFmtId="0" fontId="45" fillId="24" borderId="22" xfId="0" applyFont="1" applyFill="1" applyBorder="1" applyAlignment="1">
      <alignment vertical="center"/>
    </xf>
    <xf numFmtId="0" fontId="45" fillId="24" borderId="22" xfId="0" applyFont="1" applyFill="1" applyBorder="1" applyAlignment="1" applyProtection="1">
      <alignment horizontal="left"/>
      <protection locked="0"/>
    </xf>
    <xf numFmtId="0" fontId="42" fillId="24" borderId="13" xfId="0" applyFont="1" applyFill="1" applyBorder="1" applyAlignment="1">
      <alignment horizontal="center" vertical="center"/>
    </xf>
    <xf numFmtId="0" fontId="46" fillId="24" borderId="13" xfId="0" applyFont="1" applyFill="1" applyBorder="1" applyAlignment="1">
      <alignment vertical="center"/>
    </xf>
    <xf numFmtId="0" fontId="42" fillId="29" borderId="14" xfId="0" applyFont="1" applyFill="1" applyBorder="1" applyAlignment="1">
      <alignment horizontal="center" vertical="center" wrapText="1"/>
    </xf>
    <xf numFmtId="0" fontId="42" fillId="0" borderId="14" xfId="0" applyFont="1" applyBorder="1" applyAlignment="1" applyProtection="1">
      <alignment vertical="center"/>
      <protection locked="0"/>
    </xf>
    <xf numFmtId="0" fontId="42" fillId="0" borderId="12" xfId="0" applyFont="1" applyBorder="1" applyAlignment="1">
      <alignment horizontal="left" wrapText="1" indent="3"/>
    </xf>
    <xf numFmtId="0" fontId="42" fillId="0" borderId="11" xfId="0" applyFont="1" applyBorder="1" applyAlignment="1">
      <alignment horizontal="left" wrapText="1" indent="3"/>
    </xf>
    <xf numFmtId="0" fontId="51" fillId="24" borderId="22" xfId="0" applyFont="1" applyFill="1" applyBorder="1" applyAlignment="1">
      <alignment wrapText="1"/>
    </xf>
    <xf numFmtId="0" fontId="42" fillId="0" borderId="14" xfId="0" applyFont="1" applyBorder="1" applyAlignment="1">
      <alignment wrapText="1"/>
    </xf>
    <xf numFmtId="0" fontId="42" fillId="0" borderId="12" xfId="0" applyFont="1" applyBorder="1" applyAlignment="1">
      <alignment wrapText="1"/>
    </xf>
    <xf numFmtId="0" fontId="42" fillId="0" borderId="11" xfId="0" applyFont="1" applyBorder="1" applyAlignment="1">
      <alignment wrapText="1"/>
    </xf>
    <xf numFmtId="0" fontId="42" fillId="24" borderId="22" xfId="0" applyFont="1" applyFill="1" applyBorder="1" applyAlignment="1">
      <alignment wrapText="1"/>
    </xf>
    <xf numFmtId="0" fontId="45" fillId="24" borderId="22" xfId="0" applyFont="1" applyFill="1" applyBorder="1" applyAlignment="1">
      <alignment horizontal="left" vertical="center"/>
    </xf>
    <xf numFmtId="0" fontId="42" fillId="26" borderId="0" xfId="0" applyFont="1" applyFill="1" applyAlignment="1" applyProtection="1">
      <alignment horizontal="center"/>
      <protection locked="0"/>
    </xf>
    <xf numFmtId="0" fontId="48" fillId="0" borderId="14"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2" fillId="0" borderId="12" xfId="0" applyFont="1" applyBorder="1" applyAlignment="1">
      <alignment horizontal="left" vertical="center" indent="2"/>
    </xf>
    <xf numFmtId="0" fontId="51" fillId="24" borderId="22" xfId="0" applyFont="1" applyFill="1" applyBorder="1" applyAlignment="1">
      <alignment horizontal="left" vertical="center" wrapText="1" indent="1"/>
    </xf>
    <xf numFmtId="0" fontId="43" fillId="27" borderId="23" xfId="0" applyFont="1" applyFill="1" applyBorder="1" applyAlignment="1" applyProtection="1">
      <alignment horizontal="center" vertical="center" textRotation="90"/>
      <protection locked="0"/>
    </xf>
    <xf numFmtId="0" fontId="43" fillId="27" borderId="23" xfId="0" applyFont="1" applyFill="1" applyBorder="1" applyAlignment="1" applyProtection="1">
      <alignment horizontal="center" vertical="center" textRotation="90" wrapText="1"/>
      <protection locked="0"/>
    </xf>
    <xf numFmtId="0" fontId="42" fillId="0" borderId="15" xfId="53" applyFont="1" applyBorder="1" applyAlignment="1" applyProtection="1">
      <alignment horizontal="center" vertical="center"/>
      <protection locked="0"/>
    </xf>
    <xf numFmtId="0" fontId="53" fillId="0" borderId="12" xfId="0" applyFont="1" applyBorder="1" applyAlignment="1">
      <alignment horizontal="left" vertical="center" wrapText="1"/>
    </xf>
    <xf numFmtId="0" fontId="52" fillId="0" borderId="0" xfId="0" applyFont="1" applyAlignment="1" applyProtection="1">
      <alignment vertical="center"/>
      <protection locked="0"/>
    </xf>
    <xf numFmtId="0" fontId="52" fillId="26" borderId="11" xfId="0" applyFont="1" applyFill="1" applyBorder="1" applyAlignment="1">
      <alignment horizontal="center" vertical="center"/>
    </xf>
    <xf numFmtId="0" fontId="52" fillId="26" borderId="14" xfId="0" applyFont="1" applyFill="1" applyBorder="1" applyAlignment="1">
      <alignment horizontal="center" vertical="center" wrapText="1"/>
    </xf>
    <xf numFmtId="49" fontId="52" fillId="0" borderId="11" xfId="0" applyNumberFormat="1" applyFont="1" applyBorder="1" applyAlignment="1">
      <alignment vertical="center" wrapText="1"/>
    </xf>
    <xf numFmtId="49" fontId="52" fillId="0" borderId="11" xfId="0" applyNumberFormat="1" applyFont="1" applyBorder="1" applyAlignment="1" applyProtection="1">
      <alignment horizontal="left" vertical="center"/>
      <protection locked="0"/>
    </xf>
    <xf numFmtId="0" fontId="52" fillId="26" borderId="14" xfId="0" applyFont="1" applyFill="1" applyBorder="1" applyAlignment="1">
      <alignment horizontal="left" vertical="center" wrapText="1" indent="2"/>
    </xf>
    <xf numFmtId="0" fontId="52" fillId="26" borderId="12" xfId="0" applyFont="1" applyFill="1" applyBorder="1" applyAlignment="1">
      <alignment horizontal="center" vertical="center" wrapText="1"/>
    </xf>
    <xf numFmtId="0" fontId="52" fillId="0" borderId="12" xfId="0" applyFont="1" applyBorder="1" applyAlignment="1">
      <alignment horizontal="left" vertical="center" wrapText="1" indent="2"/>
    </xf>
    <xf numFmtId="0" fontId="52" fillId="26" borderId="11" xfId="0" applyFont="1" applyFill="1" applyBorder="1" applyAlignment="1">
      <alignment horizontal="center" vertical="center" wrapText="1"/>
    </xf>
    <xf numFmtId="0" fontId="52" fillId="0" borderId="11" xfId="0" applyFont="1" applyBorder="1" applyAlignment="1">
      <alignment horizontal="left" vertical="center" wrapText="1" indent="2"/>
    </xf>
    <xf numFmtId="49" fontId="52" fillId="0" borderId="11" xfId="0" applyNumberFormat="1" applyFont="1" applyBorder="1" applyAlignment="1">
      <alignment horizontal="left" vertical="center" wrapText="1" indent="2"/>
    </xf>
    <xf numFmtId="49" fontId="57" fillId="24" borderId="22" xfId="0" applyNumberFormat="1" applyFont="1" applyFill="1" applyBorder="1" applyAlignment="1">
      <alignment vertical="center" wrapText="1"/>
    </xf>
    <xf numFmtId="49" fontId="52" fillId="24" borderId="22" xfId="0" applyNumberFormat="1" applyFont="1" applyFill="1" applyBorder="1" applyAlignment="1" applyProtection="1">
      <alignment horizontal="left" vertical="center"/>
      <protection locked="0"/>
    </xf>
    <xf numFmtId="0" fontId="52" fillId="26" borderId="15" xfId="0" applyFont="1" applyFill="1" applyBorder="1" applyAlignment="1">
      <alignment horizontal="center" vertical="center" wrapText="1"/>
    </xf>
    <xf numFmtId="49" fontId="52" fillId="0" borderId="15" xfId="0" applyNumberFormat="1" applyFont="1" applyBorder="1" applyAlignment="1">
      <alignment vertical="center" wrapText="1"/>
    </xf>
    <xf numFmtId="49" fontId="52" fillId="0" borderId="15" xfId="0" applyNumberFormat="1" applyFont="1" applyBorder="1" applyAlignment="1" applyProtection="1">
      <alignment horizontal="left" vertical="center" indent="2"/>
      <protection locked="0"/>
    </xf>
    <xf numFmtId="49" fontId="52" fillId="24" borderId="22" xfId="0" applyNumberFormat="1" applyFont="1" applyFill="1" applyBorder="1" applyAlignment="1">
      <alignment vertical="center" wrapText="1"/>
    </xf>
    <xf numFmtId="49" fontId="52" fillId="24" borderId="22" xfId="0" applyNumberFormat="1" applyFont="1" applyFill="1" applyBorder="1" applyAlignment="1" applyProtection="1">
      <alignment horizontal="left" vertical="center" indent="2"/>
      <protection locked="0"/>
    </xf>
    <xf numFmtId="49" fontId="52" fillId="0" borderId="14" xfId="0" applyNumberFormat="1" applyFont="1" applyBorder="1" applyAlignment="1">
      <alignment horizontal="left" vertical="center" wrapText="1" indent="3"/>
    </xf>
    <xf numFmtId="49" fontId="52" fillId="0" borderId="14" xfId="0" applyNumberFormat="1" applyFont="1" applyBorder="1" applyAlignment="1" applyProtection="1">
      <alignment horizontal="left" vertical="center" indent="2"/>
      <protection locked="0"/>
    </xf>
    <xf numFmtId="49" fontId="52" fillId="0" borderId="12" xfId="0" applyNumberFormat="1" applyFont="1" applyBorder="1" applyAlignment="1">
      <alignment horizontal="left" vertical="center" wrapText="1" indent="3"/>
    </xf>
    <xf numFmtId="49" fontId="52" fillId="0" borderId="14" xfId="0" applyNumberFormat="1" applyFont="1" applyBorder="1" applyAlignment="1">
      <alignment horizontal="left" vertical="center" wrapText="1" indent="2"/>
    </xf>
    <xf numFmtId="0" fontId="52" fillId="0" borderId="31" xfId="0" applyFont="1" applyBorder="1" applyAlignment="1" applyProtection="1">
      <alignment horizontal="center"/>
      <protection locked="0"/>
    </xf>
    <xf numFmtId="49" fontId="52" fillId="0" borderId="12" xfId="0" applyNumberFormat="1" applyFont="1" applyBorder="1" applyAlignment="1">
      <alignment horizontal="left" vertical="center" wrapText="1" indent="2"/>
    </xf>
    <xf numFmtId="49" fontId="52" fillId="0" borderId="14" xfId="0" applyNumberFormat="1" applyFont="1" applyBorder="1" applyAlignment="1" applyProtection="1">
      <alignment vertical="center"/>
      <protection locked="0"/>
    </xf>
    <xf numFmtId="49" fontId="52" fillId="0" borderId="12" xfId="0" applyNumberFormat="1" applyFont="1" applyBorder="1" applyAlignment="1">
      <alignment vertical="center" wrapText="1"/>
    </xf>
    <xf numFmtId="49" fontId="52" fillId="0" borderId="15" xfId="0" applyNumberFormat="1" applyFont="1" applyBorder="1" applyAlignment="1" applyProtection="1">
      <alignment vertical="center"/>
      <protection locked="0"/>
    </xf>
    <xf numFmtId="49" fontId="52" fillId="0" borderId="12" xfId="0" applyNumberFormat="1" applyFont="1" applyBorder="1" applyAlignment="1" applyProtection="1">
      <alignment vertical="center"/>
      <protection locked="0"/>
    </xf>
    <xf numFmtId="0" fontId="57" fillId="24" borderId="22" xfId="0" applyFont="1" applyFill="1" applyBorder="1" applyAlignment="1">
      <alignment vertical="center" wrapText="1"/>
    </xf>
    <xf numFmtId="0" fontId="52" fillId="0" borderId="15" xfId="0" applyFont="1" applyBorder="1" applyAlignment="1">
      <alignment vertical="center" wrapText="1"/>
    </xf>
    <xf numFmtId="0" fontId="52" fillId="0" borderId="12" xfId="0" applyFont="1" applyBorder="1" applyAlignment="1" applyProtection="1">
      <alignment vertical="center"/>
      <protection locked="0"/>
    </xf>
    <xf numFmtId="0" fontId="52" fillId="0" borderId="11" xfId="0" applyFont="1" applyBorder="1" applyAlignment="1" applyProtection="1">
      <alignment vertical="center"/>
      <protection locked="0"/>
    </xf>
    <xf numFmtId="0" fontId="52" fillId="24" borderId="22" xfId="0" applyFont="1" applyFill="1" applyBorder="1" applyAlignment="1" applyProtection="1">
      <alignment vertical="center"/>
      <protection locked="0"/>
    </xf>
    <xf numFmtId="0" fontId="52" fillId="0" borderId="14" xfId="0" applyFont="1" applyBorder="1" applyAlignment="1" applyProtection="1">
      <alignment vertical="center"/>
      <protection locked="0"/>
    </xf>
    <xf numFmtId="0" fontId="52" fillId="26" borderId="12" xfId="0" applyFont="1" applyFill="1" applyBorder="1" applyAlignment="1">
      <alignment horizontal="center" vertical="center"/>
    </xf>
    <xf numFmtId="0" fontId="52" fillId="0" borderId="0" xfId="0" applyFont="1"/>
    <xf numFmtId="0" fontId="43" fillId="27" borderId="23" xfId="0" applyFont="1" applyFill="1" applyBorder="1" applyAlignment="1">
      <alignment vertical="center"/>
    </xf>
    <xf numFmtId="0" fontId="52" fillId="24" borderId="22" xfId="0" applyFont="1" applyFill="1" applyBorder="1" applyAlignment="1">
      <alignment vertical="top"/>
    </xf>
    <xf numFmtId="0" fontId="61" fillId="0" borderId="15" xfId="0" applyFont="1" applyBorder="1" applyAlignment="1" applyProtection="1">
      <alignment horizontal="left" vertical="center"/>
      <protection locked="0"/>
    </xf>
    <xf numFmtId="0" fontId="45" fillId="24" borderId="26" xfId="0" applyFont="1" applyFill="1" applyBorder="1" applyAlignment="1">
      <alignment horizontal="left" vertical="center"/>
    </xf>
    <xf numFmtId="0" fontId="45" fillId="24" borderId="27" xfId="0" applyFont="1" applyFill="1" applyBorder="1" applyAlignment="1">
      <alignment horizontal="left" vertical="center"/>
    </xf>
    <xf numFmtId="0" fontId="45" fillId="24" borderId="27" xfId="0" applyFont="1" applyFill="1" applyBorder="1" applyAlignment="1" applyProtection="1">
      <alignment horizontal="left" vertical="center"/>
      <protection locked="0"/>
    </xf>
    <xf numFmtId="0" fontId="59" fillId="24" borderId="27" xfId="0" applyFont="1" applyFill="1" applyBorder="1" applyAlignment="1" applyProtection="1">
      <alignment horizontal="left" vertical="center"/>
      <protection locked="0"/>
    </xf>
    <xf numFmtId="0" fontId="42" fillId="24" borderId="22" xfId="0" applyFont="1" applyFill="1" applyBorder="1" applyAlignment="1" applyProtection="1">
      <alignment vertical="center"/>
      <protection locked="0"/>
    </xf>
    <xf numFmtId="0" fontId="52" fillId="0" borderId="14" xfId="0" applyFont="1" applyBorder="1" applyAlignment="1">
      <alignment horizontal="center" vertical="center"/>
    </xf>
    <xf numFmtId="0" fontId="43" fillId="27" borderId="10" xfId="0" applyFont="1" applyFill="1" applyBorder="1"/>
    <xf numFmtId="0" fontId="43" fillId="24" borderId="27" xfId="0" applyFont="1" applyFill="1" applyBorder="1" applyAlignment="1">
      <alignment horizontal="center" vertical="center"/>
    </xf>
    <xf numFmtId="0" fontId="45" fillId="24" borderId="27" xfId="0" applyFont="1" applyFill="1" applyBorder="1"/>
    <xf numFmtId="0" fontId="43" fillId="24" borderId="27" xfId="0" applyFont="1" applyFill="1" applyBorder="1" applyAlignment="1" applyProtection="1">
      <alignment horizontal="left" vertical="center"/>
      <protection locked="0"/>
    </xf>
    <xf numFmtId="0" fontId="58" fillId="24" borderId="27" xfId="0" applyFont="1" applyFill="1" applyBorder="1" applyAlignment="1" applyProtection="1">
      <alignment horizontal="left" vertical="center"/>
      <protection locked="0"/>
    </xf>
    <xf numFmtId="0" fontId="52" fillId="24" borderId="22" xfId="0" applyFont="1" applyFill="1" applyBorder="1" applyAlignment="1">
      <alignment wrapText="1"/>
    </xf>
    <xf numFmtId="0" fontId="52" fillId="0" borderId="14" xfId="0" applyFont="1" applyBorder="1" applyAlignment="1">
      <alignment wrapText="1"/>
    </xf>
    <xf numFmtId="0" fontId="52" fillId="0" borderId="15" xfId="0" applyFont="1" applyBorder="1" applyAlignment="1">
      <alignment horizontal="center" vertical="center"/>
    </xf>
    <xf numFmtId="0" fontId="52" fillId="0" borderId="11" xfId="0" applyFont="1" applyBorder="1" applyAlignment="1">
      <alignment wrapText="1"/>
    </xf>
    <xf numFmtId="0" fontId="52" fillId="0" borderId="12" xfId="0" applyFont="1" applyBorder="1" applyAlignment="1">
      <alignment horizontal="center" vertical="center"/>
    </xf>
    <xf numFmtId="0" fontId="52" fillId="0" borderId="12" xfId="0" applyFont="1" applyBorder="1" applyAlignment="1">
      <alignment wrapText="1"/>
    </xf>
    <xf numFmtId="0" fontId="42" fillId="26" borderId="31" xfId="0" applyFont="1" applyFill="1" applyBorder="1" applyProtection="1">
      <protection locked="0"/>
    </xf>
    <xf numFmtId="0" fontId="52" fillId="0" borderId="22" xfId="0" applyFont="1" applyBorder="1" applyAlignment="1" applyProtection="1">
      <alignment horizontal="left" vertical="center"/>
      <protection locked="0"/>
    </xf>
    <xf numFmtId="0" fontId="52" fillId="0" borderId="22" xfId="121" applyFont="1" applyBorder="1" applyAlignment="1" applyProtection="1">
      <alignment horizontal="left" vertical="center"/>
      <protection locked="0"/>
    </xf>
    <xf numFmtId="0" fontId="42" fillId="0" borderId="15" xfId="0" applyFont="1" applyBorder="1" applyAlignment="1" applyProtection="1">
      <alignment vertical="center"/>
      <protection locked="0"/>
    </xf>
    <xf numFmtId="0" fontId="42" fillId="0" borderId="27" xfId="0" applyFont="1" applyBorder="1" applyProtection="1">
      <protection locked="0"/>
    </xf>
    <xf numFmtId="0" fontId="42" fillId="0" borderId="12" xfId="112" applyFont="1" applyBorder="1" applyAlignment="1">
      <alignment wrapText="1"/>
    </xf>
    <xf numFmtId="0" fontId="42" fillId="0" borderId="12" xfId="112" applyFont="1" applyBorder="1" applyAlignment="1">
      <alignment vertical="center" wrapText="1"/>
    </xf>
    <xf numFmtId="0" fontId="52" fillId="0" borderId="0" xfId="0" applyFont="1" applyAlignment="1">
      <alignment wrapText="1"/>
    </xf>
    <xf numFmtId="0" fontId="48" fillId="0" borderId="15" xfId="0" applyFont="1" applyBorder="1" applyAlignment="1" applyProtection="1">
      <alignment horizontal="left" vertical="center"/>
      <protection locked="0"/>
    </xf>
    <xf numFmtId="0" fontId="48" fillId="24" borderId="22" xfId="0" applyFont="1" applyFill="1" applyBorder="1" applyAlignment="1" applyProtection="1">
      <alignment horizontal="left" vertical="center"/>
      <protection locked="0"/>
    </xf>
    <xf numFmtId="0" fontId="42" fillId="0" borderId="14" xfId="0" applyFont="1" applyBorder="1" applyAlignment="1">
      <alignment horizontal="left" vertical="center" wrapText="1" indent="1"/>
    </xf>
    <xf numFmtId="0" fontId="42" fillId="24" borderId="12" xfId="53" applyFont="1" applyFill="1" applyBorder="1" applyAlignment="1">
      <alignment horizontal="center" vertical="center"/>
    </xf>
    <xf numFmtId="0" fontId="42" fillId="24" borderId="12" xfId="121" applyFont="1" applyFill="1" applyBorder="1" applyAlignment="1" applyProtection="1">
      <alignment horizontal="left" vertical="center"/>
      <protection locked="0"/>
    </xf>
    <xf numFmtId="0" fontId="42" fillId="24" borderId="13" xfId="55" applyFont="1" applyFill="1" applyBorder="1" applyAlignment="1" applyProtection="1">
      <alignment horizontal="center" vertical="center"/>
      <protection locked="0"/>
    </xf>
    <xf numFmtId="0" fontId="42" fillId="0" borderId="14" xfId="0" applyFont="1" applyBorder="1" applyAlignment="1" applyProtection="1">
      <alignment horizontal="left" vertical="center" wrapText="1"/>
      <protection locked="0"/>
    </xf>
    <xf numFmtId="0" fontId="42" fillId="0" borderId="15" xfId="0" applyFont="1" applyBorder="1" applyAlignment="1">
      <alignment horizontal="left" vertical="center" wrapText="1" indent="2"/>
    </xf>
    <xf numFmtId="0" fontId="42" fillId="0" borderId="22" xfId="0" applyFont="1" applyBorder="1" applyAlignment="1">
      <alignment horizontal="left" vertical="center" wrapText="1" indent="2"/>
    </xf>
    <xf numFmtId="0" fontId="42" fillId="0" borderId="22" xfId="0" applyFont="1" applyBorder="1" applyAlignment="1">
      <alignment horizontal="left" vertical="center" wrapText="1"/>
    </xf>
    <xf numFmtId="0" fontId="42" fillId="24" borderId="29" xfId="53" applyFont="1" applyFill="1" applyBorder="1" applyAlignment="1">
      <alignment horizontal="center" vertical="center"/>
    </xf>
    <xf numFmtId="0" fontId="42" fillId="24" borderId="25" xfId="0" applyFont="1" applyFill="1" applyBorder="1" applyAlignment="1">
      <alignment horizontal="center" vertical="center"/>
    </xf>
    <xf numFmtId="0" fontId="42" fillId="24" borderId="25" xfId="0" applyFont="1" applyFill="1" applyBorder="1" applyAlignment="1">
      <alignment horizontal="left" vertical="center" wrapText="1"/>
    </xf>
    <xf numFmtId="0" fontId="42" fillId="24" borderId="25" xfId="0" applyFont="1" applyFill="1" applyBorder="1" applyAlignment="1" applyProtection="1">
      <alignment horizontal="left" vertical="center"/>
      <protection locked="0"/>
    </xf>
    <xf numFmtId="0" fontId="42" fillId="24" borderId="25" xfId="121" applyFont="1" applyFill="1" applyBorder="1" applyAlignment="1" applyProtection="1">
      <alignment horizontal="left" vertical="center"/>
      <protection locked="0"/>
    </xf>
    <xf numFmtId="0" fontId="42" fillId="24" borderId="25" xfId="55" applyFont="1" applyFill="1" applyBorder="1" applyAlignment="1" applyProtection="1">
      <alignment horizontal="center" vertical="center"/>
      <protection locked="0"/>
    </xf>
    <xf numFmtId="0" fontId="51" fillId="24" borderId="22" xfId="0" applyFont="1" applyFill="1" applyBorder="1" applyAlignment="1">
      <alignment horizontal="left" vertical="center"/>
    </xf>
    <xf numFmtId="0" fontId="43" fillId="26" borderId="0" xfId="0" applyFont="1" applyFill="1" applyAlignment="1" applyProtection="1">
      <alignment horizontal="center" vertical="center" textRotation="90"/>
      <protection locked="0"/>
    </xf>
    <xf numFmtId="0" fontId="48" fillId="26"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26" borderId="0" xfId="0" applyFont="1" applyFill="1" applyAlignment="1" applyProtection="1">
      <alignment vertical="center"/>
      <protection locked="0"/>
    </xf>
    <xf numFmtId="0" fontId="45" fillId="0" borderId="11" xfId="0" applyFont="1" applyBorder="1" applyAlignment="1" applyProtection="1">
      <alignment horizontal="left"/>
      <protection locked="0"/>
    </xf>
    <xf numFmtId="0" fontId="42" fillId="26" borderId="12" xfId="0" applyFont="1" applyFill="1" applyBorder="1" applyAlignment="1">
      <alignment horizontal="left" vertical="center" wrapText="1"/>
    </xf>
    <xf numFmtId="0" fontId="42" fillId="26" borderId="14" xfId="0" applyFont="1" applyFill="1" applyBorder="1" applyProtection="1">
      <protection locked="0"/>
    </xf>
    <xf numFmtId="0" fontId="42" fillId="0" borderId="27" xfId="0" applyFont="1" applyBorder="1" applyAlignment="1" applyProtection="1">
      <alignment horizontal="left" vertical="center"/>
      <protection locked="0"/>
    </xf>
    <xf numFmtId="0" fontId="43" fillId="27" borderId="10" xfId="0" applyFont="1" applyFill="1" applyBorder="1" applyAlignment="1">
      <alignment vertical="center"/>
    </xf>
    <xf numFmtId="0" fontId="46" fillId="24" borderId="32" xfId="0" applyFont="1" applyFill="1" applyBorder="1" applyAlignment="1">
      <alignment horizontal="left" vertical="center"/>
    </xf>
    <xf numFmtId="0" fontId="50" fillId="24" borderId="33" xfId="0" applyFont="1" applyFill="1" applyBorder="1" applyAlignment="1">
      <alignment horizontal="center" vertical="center"/>
    </xf>
    <xf numFmtId="0" fontId="42" fillId="24" borderId="33" xfId="0" applyFont="1" applyFill="1" applyBorder="1" applyAlignment="1">
      <alignment vertical="center"/>
    </xf>
    <xf numFmtId="0" fontId="42" fillId="24" borderId="33" xfId="0" applyFont="1" applyFill="1" applyBorder="1" applyAlignment="1" applyProtection="1">
      <alignment vertical="top"/>
      <protection locked="0"/>
    </xf>
    <xf numFmtId="0" fontId="42" fillId="24" borderId="33" xfId="0" applyFont="1" applyFill="1" applyBorder="1" applyProtection="1">
      <protection locked="0"/>
    </xf>
    <xf numFmtId="0" fontId="52" fillId="0" borderId="11" xfId="0" applyFont="1" applyBorder="1" applyAlignment="1" applyProtection="1">
      <alignment vertical="top"/>
      <protection locked="0"/>
    </xf>
    <xf numFmtId="0" fontId="52" fillId="0" borderId="11" xfId="0" applyFont="1" applyBorder="1" applyProtection="1">
      <protection locked="0"/>
    </xf>
    <xf numFmtId="0" fontId="52" fillId="0" borderId="12" xfId="53" applyFont="1" applyBorder="1" applyAlignment="1">
      <alignment horizontal="center" vertical="center" wrapText="1"/>
    </xf>
    <xf numFmtId="0" fontId="52" fillId="0" borderId="31" xfId="0" applyFont="1" applyBorder="1" applyAlignment="1">
      <alignment horizontal="center" vertical="center" wrapText="1"/>
    </xf>
    <xf numFmtId="0" fontId="52" fillId="0" borderId="29" xfId="0" applyFont="1" applyBorder="1" applyAlignment="1">
      <alignment horizontal="center" vertical="center" wrapText="1"/>
    </xf>
    <xf numFmtId="0" fontId="62" fillId="0" borderId="14" xfId="0" applyFont="1" applyBorder="1" applyAlignment="1" applyProtection="1">
      <alignment horizontal="left" vertical="center" indent="2"/>
      <protection locked="0"/>
    </xf>
    <xf numFmtId="0" fontId="54" fillId="24" borderId="26" xfId="0" applyFont="1" applyFill="1" applyBorder="1" applyAlignment="1">
      <alignment vertical="top"/>
    </xf>
    <xf numFmtId="0" fontId="54" fillId="24" borderId="27" xfId="0" applyFont="1" applyFill="1" applyBorder="1" applyAlignment="1">
      <alignment vertical="top"/>
    </xf>
    <xf numFmtId="0" fontId="52" fillId="24" borderId="27" xfId="0" applyFont="1" applyFill="1" applyBorder="1" applyAlignment="1">
      <alignment vertical="top"/>
    </xf>
    <xf numFmtId="0" fontId="52" fillId="0" borderId="34" xfId="54" applyFont="1" applyBorder="1" applyAlignment="1">
      <alignment horizontal="center" vertical="center"/>
    </xf>
    <xf numFmtId="0" fontId="63" fillId="0" borderId="35" xfId="55" applyFont="1" applyBorder="1" applyAlignment="1">
      <alignment horizontal="left" vertical="center" wrapText="1"/>
    </xf>
    <xf numFmtId="0" fontId="52" fillId="0" borderId="36" xfId="54" applyFont="1" applyBorder="1" applyAlignment="1">
      <alignment horizontal="center" vertical="center"/>
    </xf>
    <xf numFmtId="0" fontId="63" fillId="0" borderId="12" xfId="55" applyFont="1" applyBorder="1" applyAlignment="1">
      <alignment horizontal="left" vertical="center" wrapText="1"/>
    </xf>
    <xf numFmtId="0" fontId="52" fillId="0" borderId="37" xfId="54" applyFont="1" applyBorder="1" applyAlignment="1">
      <alignment horizontal="center" vertical="center"/>
    </xf>
    <xf numFmtId="0" fontId="52" fillId="0" borderId="11" xfId="53" applyFont="1" applyBorder="1" applyAlignment="1">
      <alignment horizontal="center" vertical="center" wrapText="1"/>
    </xf>
    <xf numFmtId="0" fontId="63" fillId="0" borderId="11" xfId="55" applyFont="1" applyBorder="1" applyAlignment="1">
      <alignment horizontal="left" vertical="center" wrapText="1"/>
    </xf>
    <xf numFmtId="0" fontId="52" fillId="25" borderId="0" xfId="0" applyFont="1" applyFill="1" applyProtection="1">
      <protection locked="0"/>
    </xf>
    <xf numFmtId="0" fontId="52" fillId="24" borderId="13" xfId="54" applyFont="1" applyFill="1" applyBorder="1" applyAlignment="1">
      <alignment horizontal="center" vertical="center"/>
    </xf>
    <xf numFmtId="0" fontId="52" fillId="24" borderId="22" xfId="53" applyFont="1" applyFill="1" applyBorder="1" applyAlignment="1">
      <alignment horizontal="center" vertical="center"/>
    </xf>
    <xf numFmtId="0" fontId="63" fillId="24" borderId="22" xfId="55" applyFont="1" applyFill="1" applyBorder="1" applyAlignment="1">
      <alignment vertical="center" wrapText="1"/>
    </xf>
    <xf numFmtId="0" fontId="52" fillId="0" borderId="38" xfId="54" applyFont="1" applyBorder="1" applyAlignment="1">
      <alignment horizontal="center" vertical="center"/>
    </xf>
    <xf numFmtId="0" fontId="52" fillId="0" borderId="14" xfId="53" applyFont="1" applyBorder="1" applyAlignment="1">
      <alignment horizontal="center" vertical="center" wrapText="1"/>
    </xf>
    <xf numFmtId="0" fontId="63" fillId="0" borderId="14" xfId="55" applyFont="1" applyBorder="1" applyAlignment="1">
      <alignment vertical="center" wrapText="1"/>
    </xf>
    <xf numFmtId="0" fontId="61" fillId="0" borderId="0" xfId="0" applyFont="1" applyProtection="1">
      <protection locked="0"/>
    </xf>
    <xf numFmtId="0" fontId="52" fillId="24" borderId="22" xfId="55" applyFont="1" applyFill="1" applyBorder="1" applyAlignment="1">
      <alignment horizontal="left" vertical="center" wrapText="1"/>
    </xf>
    <xf numFmtId="0" fontId="52" fillId="0" borderId="14" xfId="55" applyFont="1" applyBorder="1" applyAlignment="1">
      <alignment horizontal="left" vertical="center" wrapText="1"/>
    </xf>
    <xf numFmtId="0" fontId="63" fillId="0" borderId="12" xfId="55" applyFont="1" applyBorder="1" applyAlignment="1">
      <alignment vertical="center" wrapText="1"/>
    </xf>
    <xf numFmtId="0" fontId="63" fillId="0" borderId="11" xfId="55" applyFont="1" applyBorder="1" applyAlignment="1">
      <alignment vertical="center" wrapText="1"/>
    </xf>
    <xf numFmtId="0" fontId="63" fillId="24" borderId="22" xfId="55" applyFont="1" applyFill="1" applyBorder="1" applyAlignment="1">
      <alignment horizontal="left" vertical="center" wrapText="1"/>
    </xf>
    <xf numFmtId="0" fontId="63" fillId="0" borderId="14" xfId="55" applyFont="1" applyBorder="1" applyAlignment="1">
      <alignment horizontal="left" vertical="center" wrapText="1"/>
    </xf>
    <xf numFmtId="0" fontId="52" fillId="0" borderId="0" xfId="0" applyFont="1" applyAlignment="1">
      <alignment horizontal="left" vertical="center" indent="2"/>
    </xf>
    <xf numFmtId="0" fontId="43" fillId="27" borderId="10" xfId="0" applyFont="1" applyFill="1" applyBorder="1" applyAlignment="1" applyProtection="1">
      <alignment horizontal="center" textRotation="90"/>
      <protection locked="0"/>
    </xf>
    <xf numFmtId="0" fontId="43" fillId="27" borderId="10" xfId="0" applyFont="1" applyFill="1" applyBorder="1" applyAlignment="1" applyProtection="1">
      <alignment horizontal="center" textRotation="90" wrapText="1"/>
      <protection locked="0"/>
    </xf>
    <xf numFmtId="0" fontId="46" fillId="24" borderId="26" xfId="0" applyFont="1" applyFill="1" applyBorder="1" applyAlignment="1">
      <alignment horizontal="left" vertical="center"/>
    </xf>
    <xf numFmtId="0" fontId="42" fillId="24" borderId="31" xfId="53" applyFont="1" applyFill="1" applyBorder="1" applyAlignment="1">
      <alignment horizontal="center" vertical="center"/>
    </xf>
    <xf numFmtId="0" fontId="42" fillId="28" borderId="0" xfId="0" applyFont="1" applyFill="1" applyAlignment="1" applyProtection="1">
      <alignment horizontal="center"/>
      <protection locked="0"/>
    </xf>
    <xf numFmtId="0" fontId="42" fillId="25" borderId="0" xfId="0" applyFont="1" applyFill="1" applyAlignment="1" applyProtection="1">
      <alignment horizontal="center"/>
      <protection locked="0"/>
    </xf>
    <xf numFmtId="0" fontId="42" fillId="24" borderId="31" xfId="0" applyFont="1" applyFill="1" applyBorder="1" applyAlignment="1">
      <alignment horizontal="center" vertical="center"/>
    </xf>
    <xf numFmtId="0" fontId="64" fillId="24" borderId="22" xfId="0" applyFont="1" applyFill="1" applyBorder="1" applyAlignment="1">
      <alignment horizontal="left" vertical="center" wrapText="1"/>
    </xf>
    <xf numFmtId="0" fontId="42" fillId="24" borderId="29" xfId="0" applyFont="1" applyFill="1" applyBorder="1" applyAlignment="1">
      <alignment horizontal="center" vertical="center"/>
    </xf>
    <xf numFmtId="0" fontId="51" fillId="24" borderId="25" xfId="0" applyFont="1" applyFill="1" applyBorder="1" applyAlignment="1">
      <alignment horizontal="left" vertical="center" wrapText="1"/>
    </xf>
    <xf numFmtId="0" fontId="42" fillId="24" borderId="25" xfId="0" applyFont="1" applyFill="1" applyBorder="1" applyProtection="1">
      <protection locked="0"/>
    </xf>
    <xf numFmtId="0" fontId="42" fillId="24" borderId="24" xfId="0" applyFont="1" applyFill="1" applyBorder="1" applyProtection="1">
      <protection locked="0"/>
    </xf>
    <xf numFmtId="0" fontId="42" fillId="24" borderId="26" xfId="0" applyFont="1" applyFill="1" applyBorder="1" applyAlignment="1">
      <alignment horizontal="center" vertical="center"/>
    </xf>
    <xf numFmtId="0" fontId="51" fillId="24" borderId="27" xfId="0" applyFont="1" applyFill="1" applyBorder="1" applyAlignment="1">
      <alignment horizontal="left" vertical="center" wrapText="1"/>
    </xf>
    <xf numFmtId="0" fontId="42" fillId="29" borderId="22" xfId="0" applyFont="1" applyFill="1" applyBorder="1" applyAlignment="1">
      <alignment horizontal="left" vertical="center" wrapText="1"/>
    </xf>
    <xf numFmtId="0" fontId="42" fillId="29" borderId="12" xfId="0" applyFont="1" applyFill="1" applyBorder="1" applyAlignment="1">
      <alignment horizontal="left" vertical="center" wrapText="1" indent="2"/>
    </xf>
    <xf numFmtId="0" fontId="42" fillId="29" borderId="11" xfId="0" applyFont="1" applyFill="1" applyBorder="1" applyAlignment="1">
      <alignment horizontal="left" vertical="center" wrapText="1" indent="2"/>
    </xf>
    <xf numFmtId="0" fontId="42" fillId="0" borderId="14" xfId="0" applyFont="1" applyBorder="1" applyAlignment="1">
      <alignment horizontal="center" vertical="center"/>
    </xf>
    <xf numFmtId="0" fontId="48" fillId="0" borderId="14" xfId="0" applyFont="1" applyBorder="1" applyAlignment="1">
      <alignment horizontal="center" vertical="center"/>
    </xf>
    <xf numFmtId="0" fontId="48" fillId="0" borderId="11" xfId="0" applyFont="1" applyBorder="1" applyAlignment="1">
      <alignment horizontal="center" vertical="center" wrapText="1"/>
    </xf>
    <xf numFmtId="0" fontId="48" fillId="0" borderId="11" xfId="0" applyFont="1" applyBorder="1" applyAlignment="1">
      <alignment horizontal="left" vertical="center" wrapText="1" indent="2"/>
    </xf>
    <xf numFmtId="0" fontId="48" fillId="0" borderId="11" xfId="0" applyFont="1" applyBorder="1" applyProtection="1">
      <protection locked="0"/>
    </xf>
    <xf numFmtId="0" fontId="42" fillId="0" borderId="15" xfId="0" applyFont="1" applyBorder="1" applyAlignment="1">
      <alignment horizontal="center" vertical="center"/>
    </xf>
    <xf numFmtId="0" fontId="42" fillId="0" borderId="11" xfId="0" applyFont="1" applyBorder="1" applyAlignment="1">
      <alignment horizontal="center" vertical="center"/>
    </xf>
    <xf numFmtId="0" fontId="65" fillId="0" borderId="0" xfId="55" applyFont="1" applyAlignment="1">
      <alignment horizontal="center" vertical="center"/>
    </xf>
    <xf numFmtId="0" fontId="65" fillId="0" borderId="0" xfId="55" applyFont="1" applyAlignment="1">
      <alignment vertical="center"/>
    </xf>
    <xf numFmtId="0" fontId="65" fillId="0" borderId="0" xfId="55" applyFont="1"/>
    <xf numFmtId="0" fontId="41" fillId="30" borderId="10" xfId="55" applyFont="1" applyFill="1" applyBorder="1" applyAlignment="1">
      <alignment horizontal="center" vertical="center" wrapText="1"/>
    </xf>
    <xf numFmtId="0" fontId="41" fillId="30" borderId="10" xfId="55" applyFont="1" applyFill="1" applyBorder="1" applyAlignment="1">
      <alignment horizontal="center" vertical="center" textRotation="90" wrapText="1"/>
    </xf>
    <xf numFmtId="0" fontId="41" fillId="30" borderId="10" xfId="55" applyFont="1" applyFill="1" applyBorder="1" applyAlignment="1">
      <alignment horizontal="center" vertical="center" textRotation="90"/>
    </xf>
    <xf numFmtId="0" fontId="41" fillId="0" borderId="0" xfId="55" applyFont="1" applyAlignment="1">
      <alignment vertical="center"/>
    </xf>
    <xf numFmtId="0" fontId="65" fillId="0" borderId="14" xfId="55" applyFont="1" applyBorder="1" applyAlignment="1">
      <alignment horizontal="center" vertical="center"/>
    </xf>
    <xf numFmtId="0" fontId="65" fillId="0" borderId="15" xfId="55" applyFont="1" applyBorder="1" applyAlignment="1">
      <alignment horizontal="center" vertical="center"/>
    </xf>
    <xf numFmtId="0" fontId="65" fillId="0" borderId="15" xfId="55" applyFont="1" applyBorder="1" applyAlignment="1">
      <alignment horizontal="left" vertical="center" wrapText="1"/>
    </xf>
    <xf numFmtId="0" fontId="65" fillId="0" borderId="31" xfId="55" applyFont="1" applyBorder="1" applyAlignment="1">
      <alignment horizontal="left" vertical="center"/>
    </xf>
    <xf numFmtId="0" fontId="65" fillId="0" borderId="13" xfId="55" applyFont="1" applyBorder="1" applyAlignment="1">
      <alignment horizontal="center" vertical="center"/>
    </xf>
    <xf numFmtId="0" fontId="65" fillId="24" borderId="13" xfId="55" applyFont="1" applyFill="1" applyBorder="1" applyAlignment="1">
      <alignment horizontal="center" vertical="center"/>
    </xf>
    <xf numFmtId="0" fontId="65" fillId="0" borderId="22" xfId="55" applyFont="1" applyBorder="1" applyAlignment="1">
      <alignment horizontal="center" vertical="center"/>
    </xf>
    <xf numFmtId="0" fontId="65" fillId="24" borderId="22" xfId="55" applyFont="1" applyFill="1" applyBorder="1" applyAlignment="1">
      <alignment horizontal="center" vertical="center"/>
    </xf>
    <xf numFmtId="0" fontId="65" fillId="0" borderId="28" xfId="55" applyFont="1" applyBorder="1" applyAlignment="1">
      <alignment horizontal="center" vertical="center"/>
    </xf>
    <xf numFmtId="0" fontId="65" fillId="0" borderId="31" xfId="55" applyFont="1" applyBorder="1"/>
    <xf numFmtId="0" fontId="65" fillId="0" borderId="12" xfId="55" applyFont="1" applyBorder="1" applyAlignment="1">
      <alignment horizontal="center" vertical="center"/>
    </xf>
    <xf numFmtId="0" fontId="65" fillId="0" borderId="12" xfId="55" applyFont="1" applyBorder="1" applyAlignment="1">
      <alignment horizontal="left" vertical="center" wrapText="1"/>
    </xf>
    <xf numFmtId="0" fontId="65" fillId="0" borderId="13" xfId="55" applyFont="1" applyBorder="1" applyAlignment="1">
      <alignment horizontal="left" vertical="center"/>
    </xf>
    <xf numFmtId="0" fontId="65" fillId="0" borderId="11" xfId="55" applyFont="1" applyBorder="1" applyAlignment="1">
      <alignment horizontal="center" vertical="center"/>
    </xf>
    <xf numFmtId="0" fontId="65" fillId="0" borderId="11" xfId="55" applyFont="1" applyBorder="1" applyAlignment="1">
      <alignment horizontal="left" vertical="center" wrapText="1"/>
    </xf>
    <xf numFmtId="0" fontId="65" fillId="0" borderId="26" xfId="55" applyFont="1" applyBorder="1" applyAlignment="1">
      <alignment horizontal="left" vertical="center"/>
    </xf>
    <xf numFmtId="0" fontId="65" fillId="0" borderId="0" xfId="55" applyFont="1" applyAlignment="1">
      <alignment horizontal="left" vertical="center"/>
    </xf>
    <xf numFmtId="0" fontId="64" fillId="0" borderId="12" xfId="0" applyFont="1" applyBorder="1" applyAlignment="1">
      <alignment horizontal="center" vertical="center" wrapText="1"/>
    </xf>
    <xf numFmtId="0" fontId="42" fillId="32" borderId="12" xfId="0" applyFont="1" applyFill="1" applyBorder="1" applyAlignment="1">
      <alignment horizontal="center" vertical="center" wrapText="1"/>
    </xf>
    <xf numFmtId="0" fontId="42" fillId="32" borderId="12" xfId="0" applyFont="1" applyFill="1" applyBorder="1" applyAlignment="1">
      <alignment vertical="center" wrapText="1"/>
    </xf>
    <xf numFmtId="0" fontId="42" fillId="32" borderId="12" xfId="0" applyFont="1" applyFill="1" applyBorder="1" applyAlignment="1" applyProtection="1">
      <alignment horizontal="left" vertical="center"/>
      <protection locked="0"/>
    </xf>
    <xf numFmtId="0" fontId="64" fillId="0" borderId="14" xfId="0" applyFont="1" applyBorder="1" applyAlignment="1">
      <alignment horizontal="center" vertical="center" wrapText="1"/>
    </xf>
    <xf numFmtId="0" fontId="64" fillId="32" borderId="12" xfId="0" applyFont="1" applyFill="1" applyBorder="1" applyAlignment="1">
      <alignment horizontal="center" vertical="center" wrapText="1"/>
    </xf>
    <xf numFmtId="0" fontId="52" fillId="31" borderId="12" xfId="0" applyFont="1" applyFill="1" applyBorder="1" applyAlignment="1">
      <alignment horizontal="center" vertical="center" wrapText="1"/>
    </xf>
    <xf numFmtId="0" fontId="52" fillId="31" borderId="11" xfId="0" applyFont="1" applyFill="1" applyBorder="1" applyAlignment="1">
      <alignment horizontal="center" vertical="center" wrapText="1"/>
    </xf>
    <xf numFmtId="0" fontId="52" fillId="32" borderId="12" xfId="0" applyFont="1" applyFill="1" applyBorder="1" applyAlignment="1">
      <alignment horizontal="center" vertical="center" wrapText="1"/>
    </xf>
    <xf numFmtId="0" fontId="52" fillId="32" borderId="11" xfId="0" applyFont="1" applyFill="1" applyBorder="1" applyAlignment="1">
      <alignment horizontal="center" vertical="center" wrapText="1"/>
    </xf>
    <xf numFmtId="0" fontId="42" fillId="24" borderId="26" xfId="53" applyFont="1" applyFill="1" applyBorder="1" applyAlignment="1">
      <alignment horizontal="center" vertical="center"/>
    </xf>
    <xf numFmtId="0" fontId="67" fillId="0" borderId="0" xfId="0" applyFont="1" applyAlignment="1" applyProtection="1">
      <alignment horizontal="center"/>
      <protection locked="0"/>
    </xf>
    <xf numFmtId="0" fontId="67" fillId="0" borderId="0" xfId="55" applyFont="1" applyProtection="1">
      <protection locked="0"/>
    </xf>
    <xf numFmtId="0" fontId="68" fillId="34" borderId="23" xfId="55" applyFont="1" applyFill="1" applyBorder="1" applyAlignment="1">
      <alignment horizontal="center" vertical="center" wrapText="1"/>
    </xf>
    <xf numFmtId="0" fontId="68" fillId="34" borderId="23" xfId="55" applyFont="1" applyFill="1" applyBorder="1" applyAlignment="1" applyProtection="1">
      <alignment horizontal="center" vertical="center" wrapText="1"/>
      <protection locked="0"/>
    </xf>
    <xf numFmtId="0" fontId="69" fillId="34" borderId="23" xfId="55" applyFont="1" applyFill="1" applyBorder="1" applyAlignment="1" applyProtection="1">
      <alignment horizontal="center" vertical="center" textRotation="90" wrapText="1"/>
      <protection locked="0"/>
    </xf>
    <xf numFmtId="0" fontId="68" fillId="34" borderId="10" xfId="55" applyFont="1" applyFill="1" applyBorder="1" applyAlignment="1" applyProtection="1">
      <alignment horizontal="center" vertical="center" textRotation="90" wrapText="1"/>
      <protection locked="0"/>
    </xf>
    <xf numFmtId="0" fontId="70" fillId="0" borderId="0" xfId="55" applyFont="1" applyAlignment="1" applyProtection="1">
      <alignment horizontal="center" vertical="center"/>
      <protection locked="0"/>
    </xf>
    <xf numFmtId="0" fontId="71" fillId="33" borderId="13" xfId="55" applyFont="1" applyFill="1" applyBorder="1" applyAlignment="1">
      <alignment horizontal="left" vertical="center"/>
    </xf>
    <xf numFmtId="0" fontId="72" fillId="33" borderId="22" xfId="55" applyFont="1" applyFill="1" applyBorder="1" applyAlignment="1">
      <alignment horizontal="center" vertical="center" wrapText="1"/>
    </xf>
    <xf numFmtId="0" fontId="67" fillId="33" borderId="22" xfId="55" applyFont="1" applyFill="1" applyBorder="1" applyAlignment="1">
      <alignment horizontal="left" vertical="center"/>
    </xf>
    <xf numFmtId="0" fontId="67" fillId="33" borderId="22" xfId="55" applyFont="1" applyFill="1" applyBorder="1" applyAlignment="1" applyProtection="1">
      <alignment vertical="top"/>
      <protection locked="0"/>
    </xf>
    <xf numFmtId="0" fontId="67" fillId="33" borderId="22" xfId="55" applyFont="1" applyFill="1" applyBorder="1" applyProtection="1">
      <protection locked="0"/>
    </xf>
    <xf numFmtId="0" fontId="67" fillId="33" borderId="28" xfId="55" applyFont="1" applyFill="1" applyBorder="1" applyProtection="1">
      <protection locked="0"/>
    </xf>
    <xf numFmtId="0" fontId="67" fillId="0" borderId="0" xfId="55" applyFont="1" applyAlignment="1" applyProtection="1">
      <alignment horizontal="center" vertical="center"/>
      <protection locked="0"/>
    </xf>
    <xf numFmtId="0" fontId="67" fillId="0" borderId="0" xfId="55" applyFont="1" applyAlignment="1" applyProtection="1">
      <alignment horizontal="center"/>
      <protection locked="0"/>
    </xf>
    <xf numFmtId="0" fontId="67" fillId="0" borderId="15" xfId="53" applyFont="1" applyBorder="1" applyAlignment="1">
      <alignment horizontal="center" vertical="center"/>
    </xf>
    <xf numFmtId="0" fontId="67" fillId="35" borderId="15" xfId="0" applyFont="1" applyFill="1" applyBorder="1" applyAlignment="1">
      <alignment horizontal="center" vertical="center" wrapText="1"/>
    </xf>
    <xf numFmtId="0" fontId="67" fillId="0" borderId="15" xfId="55" applyFont="1" applyBorder="1" applyAlignment="1">
      <alignment horizontal="left" vertical="center" wrapText="1"/>
    </xf>
    <xf numFmtId="0" fontId="67" fillId="0" borderId="15" xfId="55" applyFont="1" applyBorder="1" applyAlignment="1" applyProtection="1">
      <alignment horizontal="left" vertical="center" wrapText="1" indent="2"/>
      <protection locked="0"/>
    </xf>
    <xf numFmtId="0" fontId="67" fillId="0" borderId="15" xfId="121" applyFont="1" applyBorder="1" applyAlignment="1" applyProtection="1">
      <alignment horizontal="left" vertical="center" wrapText="1"/>
      <protection locked="0"/>
    </xf>
    <xf numFmtId="0" fontId="67" fillId="0" borderId="31" xfId="55" applyFont="1" applyBorder="1" applyAlignment="1" applyProtection="1">
      <alignment horizontal="center" vertical="center"/>
      <protection locked="0"/>
    </xf>
    <xf numFmtId="0" fontId="67" fillId="0" borderId="15" xfId="55"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7" fillId="33" borderId="22" xfId="0" applyFont="1" applyFill="1" applyBorder="1" applyAlignment="1">
      <alignment horizontal="center" vertical="center" wrapText="1"/>
    </xf>
    <xf numFmtId="0" fontId="67" fillId="33" borderId="22" xfId="55" applyFont="1" applyFill="1" applyBorder="1" applyAlignment="1">
      <alignment horizontal="left" vertical="center" wrapText="1"/>
    </xf>
    <xf numFmtId="0" fontId="67" fillId="33" borderId="22" xfId="55" applyFont="1" applyFill="1" applyBorder="1" applyAlignment="1" applyProtection="1">
      <alignment horizontal="left" vertical="center" wrapText="1" indent="2"/>
      <protection locked="0"/>
    </xf>
    <xf numFmtId="0" fontId="67" fillId="33" borderId="22" xfId="121" applyFont="1" applyFill="1" applyBorder="1" applyAlignment="1" applyProtection="1">
      <alignment horizontal="left" vertical="center" wrapText="1"/>
      <protection locked="0"/>
    </xf>
    <xf numFmtId="0" fontId="67" fillId="33" borderId="22" xfId="55" applyFont="1" applyFill="1" applyBorder="1" applyAlignment="1" applyProtection="1">
      <alignment horizontal="center" vertical="center"/>
      <protection locked="0"/>
    </xf>
    <xf numFmtId="0" fontId="67" fillId="33" borderId="28" xfId="55" applyFont="1" applyFill="1" applyBorder="1" applyAlignment="1" applyProtection="1">
      <alignment horizontal="center" vertical="center"/>
      <protection locked="0"/>
    </xf>
    <xf numFmtId="0" fontId="67" fillId="35" borderId="14" xfId="115" applyFont="1" applyFill="1" applyBorder="1" applyAlignment="1">
      <alignment horizontal="center" vertical="center" wrapText="1"/>
    </xf>
    <xf numFmtId="0" fontId="67" fillId="0" borderId="14" xfId="55" applyFont="1" applyBorder="1" applyAlignment="1">
      <alignment horizontal="left" vertical="center" wrapText="1"/>
    </xf>
    <xf numFmtId="0" fontId="67" fillId="0" borderId="14" xfId="55" applyFont="1" applyBorder="1" applyAlignment="1" applyProtection="1">
      <alignment horizontal="left" vertical="center" wrapText="1" indent="2"/>
      <protection locked="0"/>
    </xf>
    <xf numFmtId="0" fontId="67" fillId="0" borderId="14" xfId="121" applyFont="1" applyBorder="1" applyAlignment="1" applyProtection="1">
      <alignment horizontal="left" vertical="center" wrapText="1"/>
      <protection locked="0"/>
    </xf>
    <xf numFmtId="0" fontId="67" fillId="0" borderId="29" xfId="55" applyFont="1" applyBorder="1" applyAlignment="1" applyProtection="1">
      <alignment horizontal="center" vertical="center"/>
      <protection locked="0"/>
    </xf>
    <xf numFmtId="0" fontId="67" fillId="0" borderId="14" xfId="55" applyFont="1" applyBorder="1" applyAlignment="1" applyProtection="1">
      <alignment horizontal="center" vertical="center"/>
      <protection locked="0"/>
    </xf>
    <xf numFmtId="0" fontId="67" fillId="35" borderId="12" xfId="0" applyFont="1" applyFill="1" applyBorder="1" applyAlignment="1">
      <alignment horizontal="center" vertical="center" wrapText="1"/>
    </xf>
    <xf numFmtId="0" fontId="67" fillId="0" borderId="12" xfId="55" applyFont="1" applyBorder="1" applyAlignment="1">
      <alignment horizontal="left" vertical="center" wrapText="1"/>
    </xf>
    <xf numFmtId="0" fontId="67" fillId="0" borderId="12" xfId="55" applyFont="1" applyBorder="1" applyAlignment="1" applyProtection="1">
      <alignment wrapText="1"/>
      <protection locked="0"/>
    </xf>
    <xf numFmtId="0" fontId="67" fillId="0" borderId="13" xfId="55" applyFont="1" applyBorder="1" applyAlignment="1" applyProtection="1">
      <alignment horizontal="center" vertical="center"/>
      <protection locked="0"/>
    </xf>
    <xf numFmtId="0" fontId="67" fillId="0" borderId="12" xfId="55" applyFont="1" applyBorder="1" applyAlignment="1" applyProtection="1">
      <alignment horizontal="center" vertical="center"/>
      <protection locked="0"/>
    </xf>
    <xf numFmtId="0" fontId="67" fillId="35" borderId="11" xfId="0" applyFont="1" applyFill="1" applyBorder="1" applyAlignment="1">
      <alignment horizontal="center" vertical="center" wrapText="1"/>
    </xf>
    <xf numFmtId="0" fontId="67" fillId="0" borderId="11" xfId="55" applyFont="1" applyBorder="1" applyAlignment="1">
      <alignment horizontal="left" vertical="center" wrapText="1"/>
    </xf>
    <xf numFmtId="0" fontId="67" fillId="0" borderId="11" xfId="55" applyFont="1" applyBorder="1" applyAlignment="1" applyProtection="1">
      <alignment wrapText="1"/>
      <protection locked="0"/>
    </xf>
    <xf numFmtId="0" fontId="67" fillId="0" borderId="26" xfId="55" applyFont="1" applyBorder="1" applyAlignment="1" applyProtection="1">
      <alignment horizontal="center" vertical="center"/>
      <protection locked="0"/>
    </xf>
    <xf numFmtId="0" fontId="67" fillId="36" borderId="0" xfId="0" applyFont="1" applyFill="1" applyAlignment="1" applyProtection="1">
      <alignment horizontal="center" vertical="center"/>
      <protection locked="0"/>
    </xf>
    <xf numFmtId="0" fontId="67" fillId="0" borderId="12" xfId="121" applyFont="1" applyBorder="1" applyAlignment="1" applyProtection="1">
      <alignment horizontal="left" vertical="center" wrapText="1"/>
      <protection locked="0"/>
    </xf>
    <xf numFmtId="0" fontId="67" fillId="0" borderId="28" xfId="55" applyFont="1" applyBorder="1" applyAlignment="1" applyProtection="1">
      <alignment horizontal="center" vertical="center"/>
      <protection locked="0"/>
    </xf>
    <xf numFmtId="0" fontId="67" fillId="0" borderId="12" xfId="115" applyFont="1" applyBorder="1" applyAlignment="1">
      <alignment horizontal="center" vertical="center" wrapText="1"/>
    </xf>
    <xf numFmtId="0" fontId="67" fillId="35" borderId="11" xfId="115" applyFont="1" applyFill="1" applyBorder="1" applyAlignment="1">
      <alignment horizontal="center" vertical="center" wrapText="1"/>
    </xf>
    <xf numFmtId="0" fontId="67" fillId="0" borderId="11" xfId="121" applyFont="1" applyBorder="1" applyAlignment="1" applyProtection="1">
      <alignment horizontal="left" vertical="center" wrapText="1"/>
      <protection locked="0"/>
    </xf>
    <xf numFmtId="0" fontId="67" fillId="0" borderId="11" xfId="55" applyFont="1" applyBorder="1" applyAlignment="1" applyProtection="1">
      <alignment horizontal="center" vertical="center"/>
      <protection locked="0"/>
    </xf>
    <xf numFmtId="0" fontId="67" fillId="0" borderId="30" xfId="55" applyFont="1" applyBorder="1" applyAlignment="1" applyProtection="1">
      <alignment horizontal="center" vertical="center"/>
      <protection locked="0"/>
    </xf>
    <xf numFmtId="0" fontId="67" fillId="33" borderId="22" xfId="115" applyFont="1" applyFill="1" applyBorder="1" applyAlignment="1">
      <alignment horizontal="center" vertical="center" wrapText="1"/>
    </xf>
    <xf numFmtId="0" fontId="73" fillId="33" borderId="22" xfId="55" applyFont="1" applyFill="1" applyBorder="1" applyAlignment="1">
      <alignment horizontal="left" vertical="center" wrapText="1"/>
    </xf>
    <xf numFmtId="0" fontId="67" fillId="33" borderId="22" xfId="55" applyFont="1" applyFill="1" applyBorder="1" applyAlignment="1" applyProtection="1">
      <alignment wrapText="1"/>
      <protection locked="0"/>
    </xf>
    <xf numFmtId="0" fontId="67" fillId="37" borderId="0" xfId="0" applyFont="1" applyFill="1" applyAlignment="1" applyProtection="1">
      <alignment horizontal="center" vertical="center"/>
      <protection locked="0"/>
    </xf>
    <xf numFmtId="0" fontId="67" fillId="0" borderId="14" xfId="55" applyFont="1" applyBorder="1" applyAlignment="1" applyProtection="1">
      <alignment wrapText="1"/>
      <protection locked="0"/>
    </xf>
    <xf numFmtId="0" fontId="67" fillId="0" borderId="24" xfId="55" applyFont="1" applyBorder="1" applyAlignment="1" applyProtection="1">
      <alignment horizontal="center" vertical="center"/>
      <protection locked="0"/>
    </xf>
    <xf numFmtId="0" fontId="74" fillId="0" borderId="0" xfId="0" applyFont="1" applyAlignment="1" applyProtection="1">
      <alignment horizontal="center" vertical="center"/>
      <protection locked="0"/>
    </xf>
    <xf numFmtId="0" fontId="67" fillId="35" borderId="12" xfId="115" applyFont="1" applyFill="1" applyBorder="1" applyAlignment="1">
      <alignment horizontal="center" vertical="center" wrapText="1"/>
    </xf>
    <xf numFmtId="0" fontId="67" fillId="0" borderId="12" xfId="55" applyFont="1" applyBorder="1" applyAlignment="1">
      <alignment horizontal="left" vertical="center" wrapText="1" indent="3"/>
    </xf>
    <xf numFmtId="0" fontId="67" fillId="0" borderId="0" xfId="55" applyFont="1" applyAlignment="1">
      <alignment horizontal="center" vertical="center"/>
    </xf>
    <xf numFmtId="0" fontId="67" fillId="0" borderId="0" xfId="55" applyFont="1" applyAlignment="1">
      <alignment horizontal="center" vertical="center" wrapText="1"/>
    </xf>
    <xf numFmtId="0" fontId="67" fillId="0" borderId="0" xfId="55" applyFont="1" applyAlignment="1">
      <alignment horizontal="left" vertical="center" wrapText="1"/>
    </xf>
    <xf numFmtId="0" fontId="67" fillId="0" borderId="0" xfId="55" applyFont="1" applyAlignment="1" applyProtection="1">
      <alignment wrapText="1"/>
      <protection locked="0"/>
    </xf>
    <xf numFmtId="0" fontId="67" fillId="0" borderId="0" xfId="55" applyFont="1" applyAlignment="1">
      <alignment horizontal="left" vertical="center"/>
    </xf>
    <xf numFmtId="0" fontId="67" fillId="0" borderId="0" xfId="55" applyFont="1" applyAlignment="1" applyProtection="1">
      <alignment horizontal="left" vertical="center" indent="2"/>
      <protection locked="0"/>
    </xf>
    <xf numFmtId="0" fontId="67" fillId="0" borderId="0" xfId="55" applyFont="1" applyAlignment="1" applyProtection="1">
      <alignment horizontal="left" vertical="center"/>
      <protection locked="0"/>
    </xf>
    <xf numFmtId="0" fontId="67" fillId="38" borderId="14" xfId="55" applyFont="1" applyFill="1" applyBorder="1" applyAlignment="1" applyProtection="1">
      <alignment horizontal="center" vertical="center"/>
      <protection locked="0"/>
    </xf>
    <xf numFmtId="0" fontId="67" fillId="0" borderId="12" xfId="53" applyFont="1" applyBorder="1" applyAlignment="1">
      <alignment horizontal="center" vertical="center"/>
    </xf>
    <xf numFmtId="0" fontId="67" fillId="33" borderId="26" xfId="53" applyFont="1" applyFill="1" applyBorder="1" applyAlignment="1">
      <alignment horizontal="center" vertical="center"/>
    </xf>
    <xf numFmtId="0" fontId="67" fillId="33" borderId="29" xfId="53" applyFont="1" applyFill="1" applyBorder="1" applyAlignment="1">
      <alignment horizontal="center" vertical="center"/>
    </xf>
    <xf numFmtId="0" fontId="67" fillId="33" borderId="31" xfId="53" applyFont="1" applyFill="1" applyBorder="1" applyAlignment="1">
      <alignment horizontal="center" vertical="center"/>
    </xf>
    <xf numFmtId="0" fontId="42" fillId="32" borderId="11" xfId="0" applyFont="1" applyFill="1" applyBorder="1" applyAlignment="1">
      <alignment horizontal="center" vertical="center" wrapText="1"/>
    </xf>
    <xf numFmtId="0" fontId="15" fillId="39" borderId="12" xfId="120" applyFill="1" applyBorder="1" applyAlignment="1">
      <alignment horizontal="center"/>
    </xf>
    <xf numFmtId="0" fontId="15" fillId="39" borderId="12" xfId="120" applyFill="1" applyBorder="1" applyAlignment="1">
      <alignment horizontal="right" vertical="center"/>
    </xf>
    <xf numFmtId="0" fontId="15" fillId="39" borderId="12" xfId="120" applyFill="1" applyBorder="1" applyAlignment="1">
      <alignment horizontal="center" vertical="center"/>
    </xf>
    <xf numFmtId="0" fontId="15" fillId="39" borderId="12" xfId="120" applyFill="1" applyBorder="1" applyAlignment="1" applyProtection="1">
      <alignment horizontal="center" vertical="center"/>
      <protection locked="0"/>
    </xf>
    <xf numFmtId="0" fontId="30" fillId="39" borderId="13" xfId="120" applyFont="1" applyFill="1" applyBorder="1" applyAlignment="1" applyProtection="1">
      <alignment horizontal="center"/>
      <protection locked="0"/>
    </xf>
    <xf numFmtId="10" fontId="15" fillId="39" borderId="12" xfId="120" applyNumberFormat="1" applyFill="1" applyBorder="1" applyAlignment="1" applyProtection="1">
      <alignment horizontal="center"/>
      <protection locked="0"/>
    </xf>
    <xf numFmtId="0" fontId="15" fillId="39" borderId="0" xfId="120" applyFill="1" applyProtection="1">
      <protection locked="0"/>
    </xf>
    <xf numFmtId="0" fontId="0" fillId="39" borderId="0" xfId="0" applyFill="1"/>
    <xf numFmtId="0" fontId="15" fillId="35" borderId="12" xfId="120" applyFill="1" applyBorder="1" applyAlignment="1">
      <alignment horizontal="right" vertical="center"/>
    </xf>
    <xf numFmtId="0" fontId="15" fillId="35" borderId="12" xfId="120" applyFill="1" applyBorder="1" applyAlignment="1">
      <alignment horizontal="center" vertical="center"/>
    </xf>
    <xf numFmtId="0" fontId="15" fillId="35" borderId="12" xfId="120" applyFill="1" applyBorder="1" applyAlignment="1" applyProtection="1">
      <alignment horizontal="center" vertical="center"/>
      <protection locked="0"/>
    </xf>
    <xf numFmtId="0" fontId="15" fillId="35" borderId="0" xfId="120" applyFill="1" applyProtection="1">
      <protection locked="0"/>
    </xf>
    <xf numFmtId="0" fontId="30" fillId="39" borderId="12" xfId="120" applyFont="1" applyFill="1" applyBorder="1" applyAlignment="1" applyProtection="1">
      <alignment horizontal="center"/>
      <protection locked="0"/>
    </xf>
    <xf numFmtId="0" fontId="15" fillId="39" borderId="13" xfId="120" applyFill="1" applyBorder="1" applyAlignment="1" applyProtection="1">
      <alignment horizontal="center" vertical="center"/>
      <protection locked="0"/>
    </xf>
    <xf numFmtId="0" fontId="15" fillId="35" borderId="12" xfId="120" applyFill="1" applyBorder="1" applyAlignment="1">
      <alignment horizontal="right"/>
    </xf>
    <xf numFmtId="0" fontId="28" fillId="0" borderId="0" xfId="0" applyFont="1" applyAlignment="1">
      <alignment horizontal="center" wrapText="1"/>
    </xf>
    <xf numFmtId="0" fontId="30" fillId="39" borderId="12" xfId="120" applyFont="1" applyFill="1" applyBorder="1" applyAlignment="1" applyProtection="1">
      <alignment horizontal="center" vertical="center"/>
      <protection locked="0"/>
    </xf>
    <xf numFmtId="0" fontId="16" fillId="39" borderId="0" xfId="55" applyFill="1" applyProtection="1">
      <protection locked="0"/>
    </xf>
    <xf numFmtId="0" fontId="30" fillId="39" borderId="0" xfId="120" applyFont="1" applyFill="1" applyAlignment="1" applyProtection="1">
      <alignment horizontal="center"/>
      <protection locked="0"/>
    </xf>
    <xf numFmtId="0" fontId="15" fillId="39" borderId="0" xfId="120" applyFill="1" applyAlignment="1" applyProtection="1">
      <alignment horizontal="center" vertical="center"/>
      <protection locked="0"/>
    </xf>
    <xf numFmtId="0" fontId="15" fillId="35" borderId="14" xfId="120" applyFill="1" applyBorder="1" applyAlignment="1">
      <alignment horizontal="center" vertical="center"/>
    </xf>
    <xf numFmtId="0" fontId="15" fillId="35" borderId="12" xfId="120" applyFill="1" applyBorder="1" applyAlignment="1">
      <alignment horizontal="right" vertical="center" indent="1"/>
    </xf>
    <xf numFmtId="0" fontId="30" fillId="35" borderId="12" xfId="120" applyFont="1" applyFill="1" applyBorder="1" applyAlignment="1" applyProtection="1">
      <alignment horizontal="center" vertical="center"/>
      <protection locked="0"/>
    </xf>
    <xf numFmtId="0" fontId="16" fillId="35" borderId="0" xfId="55" applyFill="1" applyProtection="1">
      <protection locked="0"/>
    </xf>
    <xf numFmtId="0" fontId="15" fillId="39" borderId="12" xfId="120" applyFill="1" applyBorder="1" applyAlignment="1">
      <alignment horizontal="right" vertical="center" indent="1"/>
    </xf>
    <xf numFmtId="0" fontId="16" fillId="35" borderId="14" xfId="55" applyFill="1" applyBorder="1" applyProtection="1">
      <protection locked="0"/>
    </xf>
    <xf numFmtId="0" fontId="34" fillId="39" borderId="12" xfId="120" applyFont="1" applyFill="1" applyBorder="1" applyAlignment="1">
      <alignment horizontal="center" vertical="center"/>
    </xf>
    <xf numFmtId="0" fontId="34" fillId="39" borderId="12" xfId="120" applyFont="1" applyFill="1" applyBorder="1" applyAlignment="1" applyProtection="1">
      <alignment horizontal="center" vertical="center"/>
      <protection locked="0"/>
    </xf>
    <xf numFmtId="0" fontId="34" fillId="35" borderId="14" xfId="120" applyFont="1" applyFill="1" applyBorder="1" applyAlignment="1">
      <alignment horizontal="center" vertical="center"/>
    </xf>
    <xf numFmtId="0" fontId="34" fillId="35" borderId="12" xfId="120" applyFont="1" applyFill="1" applyBorder="1" applyAlignment="1">
      <alignment horizontal="right" vertical="center" indent="1"/>
    </xf>
    <xf numFmtId="0" fontId="34" fillId="35" borderId="12" xfId="120" applyFont="1" applyFill="1" applyBorder="1" applyAlignment="1">
      <alignment horizontal="center" vertical="center"/>
    </xf>
    <xf numFmtId="0" fontId="34" fillId="35" borderId="12" xfId="120" applyFont="1" applyFill="1" applyBorder="1" applyAlignment="1" applyProtection="1">
      <alignment horizontal="center" vertical="center"/>
      <protection locked="0"/>
    </xf>
    <xf numFmtId="0" fontId="34" fillId="39" borderId="12" xfId="120" applyFont="1" applyFill="1" applyBorder="1" applyAlignment="1">
      <alignment horizontal="right" vertical="center" indent="1"/>
    </xf>
    <xf numFmtId="0" fontId="34" fillId="39" borderId="13" xfId="120" applyFont="1" applyFill="1" applyBorder="1" applyAlignment="1" applyProtection="1">
      <alignment horizontal="center" vertical="center"/>
      <protection locked="0"/>
    </xf>
    <xf numFmtId="0" fontId="15" fillId="35" borderId="12" xfId="120" applyFill="1" applyBorder="1"/>
    <xf numFmtId="0" fontId="15" fillId="35" borderId="14" xfId="120" applyFill="1" applyBorder="1" applyAlignment="1" applyProtection="1">
      <alignment horizontal="center" vertical="center"/>
      <protection locked="0"/>
    </xf>
    <xf numFmtId="0" fontId="30" fillId="35" borderId="0" xfId="120" applyFont="1" applyFill="1" applyAlignment="1" applyProtection="1">
      <alignment horizontal="center" vertical="center"/>
      <protection locked="0"/>
    </xf>
    <xf numFmtId="0" fontId="30" fillId="35" borderId="0" xfId="55" applyFont="1" applyFill="1" applyAlignment="1" applyProtection="1">
      <alignment horizontal="center"/>
      <protection locked="0"/>
    </xf>
    <xf numFmtId="0" fontId="38" fillId="39" borderId="12" xfId="120" applyFont="1" applyFill="1" applyBorder="1" applyAlignment="1">
      <alignment horizontal="center" vertical="center"/>
    </xf>
    <xf numFmtId="0" fontId="38" fillId="39" borderId="12" xfId="120" applyFont="1" applyFill="1" applyBorder="1" applyAlignment="1" applyProtection="1">
      <alignment horizontal="center" vertical="center"/>
      <protection locked="0"/>
    </xf>
    <xf numFmtId="0" fontId="34" fillId="39" borderId="0" xfId="120" applyFont="1" applyFill="1" applyAlignment="1">
      <alignment horizontal="right" vertical="center" indent="1"/>
    </xf>
    <xf numFmtId="0" fontId="38" fillId="35" borderId="14" xfId="120" applyFont="1" applyFill="1" applyBorder="1" applyAlignment="1">
      <alignment horizontal="center" vertical="center"/>
    </xf>
    <xf numFmtId="0" fontId="38" fillId="35" borderId="12" xfId="120" applyFont="1" applyFill="1" applyBorder="1" applyAlignment="1">
      <alignment horizontal="right" vertical="center" indent="1"/>
    </xf>
    <xf numFmtId="0" fontId="38" fillId="35" borderId="12" xfId="120" applyFont="1" applyFill="1" applyBorder="1" applyAlignment="1">
      <alignment horizontal="center" vertical="center"/>
    </xf>
    <xf numFmtId="0" fontId="38" fillId="35" borderId="12" xfId="120" applyFont="1" applyFill="1" applyBorder="1" applyAlignment="1" applyProtection="1">
      <alignment horizontal="center" vertical="center"/>
      <protection locked="0"/>
    </xf>
    <xf numFmtId="0" fontId="38" fillId="39" borderId="12" xfId="120" applyFont="1" applyFill="1" applyBorder="1" applyAlignment="1">
      <alignment horizontal="right" vertical="center" indent="1"/>
    </xf>
    <xf numFmtId="0" fontId="15" fillId="40" borderId="12" xfId="120" applyFill="1" applyBorder="1" applyAlignment="1">
      <alignment horizontal="center"/>
    </xf>
    <xf numFmtId="0" fontId="15" fillId="40" borderId="12" xfId="120" applyFill="1" applyBorder="1" applyAlignment="1">
      <alignment horizontal="right" vertical="center"/>
    </xf>
    <xf numFmtId="0" fontId="15" fillId="40" borderId="12" xfId="120" applyFill="1" applyBorder="1" applyAlignment="1">
      <alignment horizontal="center" vertical="center"/>
    </xf>
    <xf numFmtId="0" fontId="15" fillId="40" borderId="12" xfId="120" applyFill="1" applyBorder="1" applyAlignment="1" applyProtection="1">
      <alignment horizontal="center" vertical="center"/>
      <protection locked="0"/>
    </xf>
    <xf numFmtId="0" fontId="30" fillId="40" borderId="13" xfId="120" applyFont="1" applyFill="1" applyBorder="1" applyAlignment="1" applyProtection="1">
      <alignment horizontal="center"/>
      <protection locked="0"/>
    </xf>
    <xf numFmtId="10" fontId="15" fillId="40" borderId="12" xfId="120" applyNumberFormat="1" applyFill="1" applyBorder="1" applyAlignment="1" applyProtection="1">
      <alignment horizontal="center"/>
      <protection locked="0"/>
    </xf>
    <xf numFmtId="0" fontId="15" fillId="37" borderId="12" xfId="120" applyFill="1" applyBorder="1" applyAlignment="1">
      <alignment horizontal="center"/>
    </xf>
    <xf numFmtId="0" fontId="15" fillId="37" borderId="12" xfId="120" applyFill="1" applyBorder="1" applyAlignment="1">
      <alignment horizontal="right" vertical="center"/>
    </xf>
    <xf numFmtId="0" fontId="15" fillId="37" borderId="12" xfId="120" applyFill="1" applyBorder="1" applyAlignment="1">
      <alignment horizontal="center" vertical="center"/>
    </xf>
    <xf numFmtId="0" fontId="15" fillId="37" borderId="12" xfId="120" applyFill="1" applyBorder="1" applyAlignment="1" applyProtection="1">
      <alignment horizontal="center" vertical="center"/>
      <protection locked="0"/>
    </xf>
    <xf numFmtId="0" fontId="30" fillId="41" borderId="13" xfId="120" applyFont="1" applyFill="1" applyBorder="1" applyAlignment="1" applyProtection="1">
      <alignment horizontal="center"/>
      <protection locked="0"/>
    </xf>
    <xf numFmtId="10" fontId="15" fillId="37" borderId="12" xfId="120" applyNumberFormat="1" applyFill="1" applyBorder="1" applyAlignment="1" applyProtection="1">
      <alignment horizontal="center"/>
      <protection locked="0"/>
    </xf>
    <xf numFmtId="0" fontId="15" fillId="37" borderId="12" xfId="120" applyFill="1" applyBorder="1" applyAlignment="1">
      <alignment horizontal="right"/>
    </xf>
    <xf numFmtId="0" fontId="15" fillId="41" borderId="12" xfId="120" applyFill="1" applyBorder="1" applyAlignment="1">
      <alignment horizontal="center" vertical="center"/>
    </xf>
    <xf numFmtId="0" fontId="15" fillId="41" borderId="12" xfId="120" applyFill="1" applyBorder="1" applyAlignment="1">
      <alignment horizontal="center"/>
    </xf>
    <xf numFmtId="10" fontId="15" fillId="41" borderId="12" xfId="120" applyNumberFormat="1" applyFill="1" applyBorder="1" applyAlignment="1" applyProtection="1">
      <alignment horizontal="center"/>
      <protection locked="0"/>
    </xf>
    <xf numFmtId="0" fontId="15" fillId="40" borderId="14" xfId="120" applyFill="1" applyBorder="1" applyAlignment="1">
      <alignment horizontal="center" vertical="center"/>
    </xf>
    <xf numFmtId="0" fontId="15" fillId="40" borderId="14" xfId="120" applyFill="1" applyBorder="1" applyAlignment="1">
      <alignment horizontal="right" vertical="center" indent="1"/>
    </xf>
    <xf numFmtId="0" fontId="30" fillId="40" borderId="12" xfId="120" applyFont="1" applyFill="1" applyBorder="1" applyAlignment="1" applyProtection="1">
      <alignment horizontal="center" vertical="center"/>
      <protection locked="0"/>
    </xf>
    <xf numFmtId="0" fontId="15" fillId="37" borderId="12" xfId="120" applyFill="1" applyBorder="1" applyAlignment="1">
      <alignment horizontal="right" vertical="center" indent="1"/>
    </xf>
    <xf numFmtId="0" fontId="30" fillId="37" borderId="12" xfId="120" applyFont="1" applyFill="1" applyBorder="1" applyAlignment="1" applyProtection="1">
      <alignment horizontal="center" vertical="center"/>
      <protection locked="0"/>
    </xf>
    <xf numFmtId="0" fontId="15" fillId="40" borderId="12" xfId="120" applyFill="1" applyBorder="1" applyAlignment="1">
      <alignment horizontal="right" vertical="center" indent="1"/>
    </xf>
    <xf numFmtId="0" fontId="15" fillId="37" borderId="12" xfId="120" applyFill="1" applyBorder="1" applyAlignment="1" applyProtection="1">
      <alignment horizontal="right"/>
      <protection locked="0"/>
    </xf>
    <xf numFmtId="0" fontId="15" fillId="40" borderId="13" xfId="120" applyFill="1" applyBorder="1" applyAlignment="1" applyProtection="1">
      <alignment horizontal="center" vertical="center"/>
      <protection locked="0"/>
    </xf>
    <xf numFmtId="0" fontId="34" fillId="40" borderId="14" xfId="120" applyFont="1" applyFill="1" applyBorder="1" applyAlignment="1">
      <alignment horizontal="center" vertical="center"/>
    </xf>
    <xf numFmtId="0" fontId="34" fillId="40" borderId="14" xfId="120" applyFont="1" applyFill="1" applyBorder="1" applyAlignment="1">
      <alignment horizontal="right" vertical="center" indent="1"/>
    </xf>
    <xf numFmtId="0" fontId="34" fillId="40" borderId="12" xfId="120" applyFont="1" applyFill="1" applyBorder="1" applyAlignment="1">
      <alignment horizontal="center" vertical="center"/>
    </xf>
    <xf numFmtId="0" fontId="34" fillId="40" borderId="12" xfId="120" applyFont="1" applyFill="1" applyBorder="1" applyAlignment="1" applyProtection="1">
      <alignment horizontal="center" vertical="center"/>
      <protection locked="0"/>
    </xf>
    <xf numFmtId="0" fontId="34" fillId="37" borderId="12" xfId="120" applyFont="1" applyFill="1" applyBorder="1" applyAlignment="1">
      <alignment horizontal="right" vertical="center" indent="1"/>
    </xf>
    <xf numFmtId="0" fontId="34" fillId="37" borderId="12" xfId="120" applyFont="1" applyFill="1" applyBorder="1" applyAlignment="1">
      <alignment horizontal="center" vertical="center"/>
    </xf>
    <xf numFmtId="0" fontId="34" fillId="37" borderId="12" xfId="120" applyFont="1" applyFill="1" applyBorder="1" applyAlignment="1" applyProtection="1">
      <alignment horizontal="center" vertical="center"/>
      <protection locked="0"/>
    </xf>
    <xf numFmtId="0" fontId="34" fillId="40" borderId="12" xfId="120" applyFont="1" applyFill="1" applyBorder="1" applyAlignment="1">
      <alignment horizontal="right" vertical="center" indent="1"/>
    </xf>
    <xf numFmtId="0" fontId="34" fillId="37" borderId="12" xfId="120" applyFont="1" applyFill="1" applyBorder="1" applyAlignment="1" applyProtection="1">
      <alignment horizontal="right"/>
      <protection locked="0"/>
    </xf>
    <xf numFmtId="0" fontId="30" fillId="37" borderId="11" xfId="120" applyFont="1" applyFill="1" applyBorder="1" applyAlignment="1" applyProtection="1">
      <alignment horizontal="center" vertical="center"/>
      <protection locked="0"/>
    </xf>
    <xf numFmtId="0" fontId="38" fillId="40" borderId="14" xfId="120" applyFont="1" applyFill="1" applyBorder="1" applyAlignment="1">
      <alignment horizontal="center" vertical="center"/>
    </xf>
    <xf numFmtId="0" fontId="38" fillId="40" borderId="14" xfId="120" applyFont="1" applyFill="1" applyBorder="1" applyAlignment="1">
      <alignment horizontal="right" vertical="center" indent="1"/>
    </xf>
    <xf numFmtId="0" fontId="38" fillId="40" borderId="12" xfId="120" applyFont="1" applyFill="1" applyBorder="1" applyAlignment="1">
      <alignment horizontal="center" vertical="center"/>
    </xf>
    <xf numFmtId="0" fontId="38" fillId="40" borderId="12" xfId="120" applyFont="1" applyFill="1" applyBorder="1" applyAlignment="1" applyProtection="1">
      <alignment horizontal="center" vertical="center"/>
      <protection locked="0"/>
    </xf>
    <xf numFmtId="0" fontId="38" fillId="37" borderId="12" xfId="120" applyFont="1" applyFill="1" applyBorder="1" applyAlignment="1">
      <alignment horizontal="right" vertical="center" indent="1"/>
    </xf>
    <xf numFmtId="0" fontId="38" fillId="37" borderId="12" xfId="120" applyFont="1" applyFill="1" applyBorder="1" applyAlignment="1">
      <alignment horizontal="center" vertical="center"/>
    </xf>
    <xf numFmtId="0" fontId="38" fillId="37" borderId="12" xfId="120" applyFont="1" applyFill="1" applyBorder="1" applyAlignment="1" applyProtection="1">
      <alignment horizontal="center" vertical="center"/>
      <protection locked="0"/>
    </xf>
    <xf numFmtId="0" fontId="38" fillId="40" borderId="12" xfId="120" applyFont="1" applyFill="1" applyBorder="1" applyAlignment="1">
      <alignment horizontal="right" vertical="center" indent="1"/>
    </xf>
    <xf numFmtId="0" fontId="38" fillId="37" borderId="12" xfId="120" applyFont="1" applyFill="1" applyBorder="1" applyAlignment="1" applyProtection="1">
      <alignment horizontal="right"/>
      <protection locked="0"/>
    </xf>
    <xf numFmtId="0" fontId="40" fillId="37" borderId="14" xfId="120" applyFont="1" applyFill="1" applyBorder="1" applyAlignment="1">
      <alignment horizontal="center" vertical="center"/>
    </xf>
    <xf numFmtId="0" fontId="40" fillId="37" borderId="14" xfId="120" applyFont="1" applyFill="1" applyBorder="1" applyAlignment="1">
      <alignment horizontal="right" vertical="center" indent="1"/>
    </xf>
    <xf numFmtId="0" fontId="40" fillId="37" borderId="12" xfId="120" applyFont="1" applyFill="1" applyBorder="1" applyAlignment="1">
      <alignment horizontal="center" vertical="center"/>
    </xf>
    <xf numFmtId="0" fontId="40" fillId="37" borderId="12" xfId="120" applyFont="1" applyFill="1" applyBorder="1" applyAlignment="1" applyProtection="1">
      <alignment horizontal="center" vertical="center"/>
      <protection locked="0"/>
    </xf>
    <xf numFmtId="0" fontId="40" fillId="37" borderId="12" xfId="120" applyFont="1" applyFill="1" applyBorder="1" applyAlignment="1">
      <alignment horizontal="right" vertical="center" indent="1"/>
    </xf>
    <xf numFmtId="0" fontId="40" fillId="37" borderId="12" xfId="120" applyFont="1" applyFill="1" applyBorder="1" applyAlignment="1" applyProtection="1">
      <alignment horizontal="right"/>
      <protection locked="0"/>
    </xf>
    <xf numFmtId="0" fontId="40" fillId="35" borderId="14" xfId="120" applyFont="1" applyFill="1" applyBorder="1" applyAlignment="1">
      <alignment horizontal="center" vertical="center"/>
    </xf>
    <xf numFmtId="0" fontId="40" fillId="35" borderId="12" xfId="120" applyFont="1" applyFill="1" applyBorder="1" applyAlignment="1">
      <alignment horizontal="right" vertical="center" indent="1"/>
    </xf>
    <xf numFmtId="0" fontId="40" fillId="35" borderId="12" xfId="120" applyFont="1" applyFill="1" applyBorder="1" applyAlignment="1">
      <alignment horizontal="center" vertical="center"/>
    </xf>
    <xf numFmtId="0" fontId="40" fillId="35" borderId="12" xfId="120" applyFont="1" applyFill="1" applyBorder="1" applyAlignment="1" applyProtection="1">
      <alignment horizontal="center" vertical="center"/>
      <protection locked="0"/>
    </xf>
    <xf numFmtId="0" fontId="40" fillId="35" borderId="12" xfId="120" applyFont="1" applyFill="1" applyBorder="1" applyAlignment="1" applyProtection="1">
      <alignment horizontal="right"/>
      <protection locked="0"/>
    </xf>
    <xf numFmtId="0" fontId="34" fillId="41" borderId="12" xfId="120" applyFont="1" applyFill="1" applyBorder="1" applyAlignment="1">
      <alignment horizontal="center" vertical="center"/>
    </xf>
    <xf numFmtId="0" fontId="15" fillId="41" borderId="12" xfId="120" applyFill="1" applyBorder="1"/>
    <xf numFmtId="0" fontId="15" fillId="37" borderId="13" xfId="120" applyFill="1" applyBorder="1" applyAlignment="1" applyProtection="1">
      <alignment horizontal="center" vertical="center"/>
      <protection locked="0"/>
    </xf>
    <xf numFmtId="0" fontId="38" fillId="41" borderId="12" xfId="120" applyFont="1" applyFill="1" applyBorder="1" applyAlignment="1">
      <alignment horizontal="center" vertical="center"/>
    </xf>
    <xf numFmtId="0" fontId="38" fillId="41" borderId="12" xfId="120" applyFont="1" applyFill="1" applyBorder="1" applyAlignment="1">
      <alignment horizontal="right" vertical="center" indent="1"/>
    </xf>
    <xf numFmtId="0" fontId="16" fillId="37" borderId="12" xfId="55" applyFill="1" applyBorder="1" applyProtection="1">
      <protection locked="0"/>
    </xf>
    <xf numFmtId="0" fontId="29" fillId="26" borderId="28" xfId="55" applyFont="1" applyFill="1" applyBorder="1" applyAlignment="1" applyProtection="1">
      <alignment horizontal="center"/>
      <protection locked="0"/>
    </xf>
    <xf numFmtId="0" fontId="30" fillId="41" borderId="12" xfId="120" applyFont="1" applyFill="1" applyBorder="1" applyAlignment="1" applyProtection="1">
      <alignment horizontal="center"/>
      <protection locked="0"/>
    </xf>
    <xf numFmtId="0" fontId="42" fillId="32" borderId="12" xfId="55" applyFont="1" applyFill="1" applyBorder="1" applyAlignment="1" applyProtection="1">
      <alignment horizontal="left" vertical="center" wrapText="1"/>
      <protection locked="0"/>
    </xf>
    <xf numFmtId="0" fontId="45" fillId="24" borderId="39" xfId="55" applyFont="1" applyFill="1" applyBorder="1" applyAlignment="1" applyProtection="1">
      <alignment horizontal="left" vertical="center"/>
      <protection locked="0"/>
    </xf>
    <xf numFmtId="0" fontId="43" fillId="42" borderId="0" xfId="0" applyFont="1" applyFill="1" applyAlignment="1" applyProtection="1">
      <alignment horizontal="center" vertical="center" textRotation="90" wrapText="1"/>
      <protection locked="0"/>
    </xf>
    <xf numFmtId="0" fontId="43" fillId="27" borderId="40" xfId="0" applyFont="1" applyFill="1" applyBorder="1" applyAlignment="1" applyProtection="1">
      <alignment horizontal="center" vertical="center" textRotation="90" wrapText="1"/>
      <protection locked="0"/>
    </xf>
    <xf numFmtId="0" fontId="42" fillId="24" borderId="39" xfId="0" applyFont="1" applyFill="1" applyBorder="1" applyProtection="1">
      <protection locked="0"/>
    </xf>
    <xf numFmtId="0" fontId="42" fillId="24" borderId="14" xfId="0" applyFont="1" applyFill="1" applyBorder="1" applyProtection="1">
      <protection locked="0"/>
    </xf>
    <xf numFmtId="0" fontId="42" fillId="35" borderId="0" xfId="0" applyFont="1" applyFill="1" applyProtection="1">
      <protection locked="0"/>
    </xf>
    <xf numFmtId="0" fontId="58" fillId="42" borderId="0" xfId="0" applyFont="1" applyFill="1" applyAlignment="1" applyProtection="1">
      <alignment horizontal="center" vertical="center" textRotation="90" wrapText="1"/>
      <protection locked="0"/>
    </xf>
    <xf numFmtId="0" fontId="45" fillId="24" borderId="39" xfId="0" applyFont="1" applyFill="1" applyBorder="1" applyAlignment="1" applyProtection="1">
      <alignment horizontal="left"/>
      <protection locked="0"/>
    </xf>
    <xf numFmtId="0" fontId="52" fillId="24" borderId="39" xfId="0" applyFont="1" applyFill="1" applyBorder="1" applyProtection="1">
      <protection locked="0"/>
    </xf>
    <xf numFmtId="0" fontId="68" fillId="35" borderId="0" xfId="55" applyFont="1" applyFill="1" applyAlignment="1" applyProtection="1">
      <alignment horizontal="center" vertical="center" textRotation="90" wrapText="1"/>
      <protection locked="0"/>
    </xf>
    <xf numFmtId="0" fontId="43" fillId="42" borderId="0" xfId="0" applyFont="1" applyFill="1" applyAlignment="1" applyProtection="1">
      <alignment horizontal="center" textRotation="90" wrapText="1"/>
      <protection locked="0"/>
    </xf>
    <xf numFmtId="0" fontId="45" fillId="24" borderId="24" xfId="55" applyFont="1" applyFill="1" applyBorder="1" applyAlignment="1" applyProtection="1">
      <alignment horizontal="left" vertical="center"/>
      <protection locked="0"/>
    </xf>
    <xf numFmtId="0" fontId="45" fillId="24" borderId="24" xfId="0" applyFont="1" applyFill="1" applyBorder="1" applyAlignment="1" applyProtection="1">
      <alignment horizontal="left"/>
      <protection locked="0"/>
    </xf>
    <xf numFmtId="0" fontId="52" fillId="24" borderId="24" xfId="0" applyFont="1" applyFill="1" applyBorder="1" applyProtection="1">
      <protection locked="0"/>
    </xf>
    <xf numFmtId="0" fontId="42" fillId="43" borderId="0" xfId="0" applyFont="1" applyFill="1" applyAlignment="1" applyProtection="1">
      <alignment horizontal="left"/>
      <protection locked="0"/>
    </xf>
    <xf numFmtId="0" fontId="23" fillId="17" borderId="10" xfId="120" applyFont="1" applyFill="1" applyBorder="1" applyAlignment="1" applyProtection="1">
      <alignment horizontal="center"/>
      <protection locked="0"/>
    </xf>
    <xf numFmtId="0" fontId="24" fillId="24" borderId="10" xfId="120" applyFont="1" applyFill="1" applyBorder="1" applyAlignment="1">
      <alignment horizontal="left"/>
    </xf>
    <xf numFmtId="0" fontId="24" fillId="24" borderId="10" xfId="120" applyFont="1" applyFill="1" applyBorder="1" applyAlignment="1" applyProtection="1">
      <alignment horizontal="left" vertical="center"/>
      <protection locked="0"/>
    </xf>
    <xf numFmtId="0" fontId="27" fillId="24" borderId="10" xfId="120" applyFont="1" applyFill="1" applyBorder="1" applyAlignment="1">
      <alignment horizontal="center" vertical="center"/>
    </xf>
    <xf numFmtId="0" fontId="27" fillId="24" borderId="10" xfId="55" applyFont="1" applyFill="1" applyBorder="1" applyAlignment="1" applyProtection="1">
      <alignment horizontal="center" vertical="center"/>
      <protection locked="0"/>
    </xf>
    <xf numFmtId="0" fontId="42" fillId="43" borderId="0" xfId="0" applyFont="1" applyFill="1" applyAlignment="1" applyProtection="1">
      <alignment horizontal="left" wrapText="1"/>
      <protection locked="0"/>
    </xf>
    <xf numFmtId="0" fontId="42" fillId="28" borderId="10" xfId="0" applyFont="1" applyFill="1" applyBorder="1" applyAlignment="1" applyProtection="1">
      <alignment horizontal="left" wrapText="1"/>
      <protection locked="0"/>
    </xf>
    <xf numFmtId="0" fontId="42" fillId="43" borderId="10" xfId="0" applyFont="1" applyFill="1" applyBorder="1" applyAlignment="1" applyProtection="1">
      <alignment horizontal="left" wrapText="1"/>
      <protection locked="0"/>
    </xf>
    <xf numFmtId="0" fontId="67" fillId="35" borderId="0" xfId="0" applyFont="1" applyFill="1" applyAlignment="1" applyProtection="1">
      <alignment horizontal="left" wrapText="1"/>
      <protection locked="0"/>
    </xf>
  </cellXfs>
  <cellStyles count="128">
    <cellStyle name="20% - Accent1 2" xfId="1" xr:uid="{00000000-0005-0000-0000-000006000000}"/>
    <cellStyle name="20% - Accent2 2" xfId="2" xr:uid="{00000000-0005-0000-0000-000007000000}"/>
    <cellStyle name="20% - Accent3 2" xfId="3" xr:uid="{00000000-0005-0000-0000-000008000000}"/>
    <cellStyle name="20% - Accent4 2" xfId="4" xr:uid="{00000000-0005-0000-0000-000009000000}"/>
    <cellStyle name="20% - Accent5 2" xfId="5" xr:uid="{00000000-0005-0000-0000-00000A000000}"/>
    <cellStyle name="20% - Accent6 2" xfId="6" xr:uid="{00000000-0005-0000-0000-00000B000000}"/>
    <cellStyle name="40% - Accent1 2" xfId="7" xr:uid="{00000000-0005-0000-0000-00000C000000}"/>
    <cellStyle name="40% - Accent2 2" xfId="8" xr:uid="{00000000-0005-0000-0000-00000D000000}"/>
    <cellStyle name="40% - Accent3 2" xfId="9" xr:uid="{00000000-0005-0000-0000-00000E000000}"/>
    <cellStyle name="40% - Accent4 2" xfId="10" xr:uid="{00000000-0005-0000-0000-00000F000000}"/>
    <cellStyle name="40% - Accent5 2" xfId="11" xr:uid="{00000000-0005-0000-0000-000010000000}"/>
    <cellStyle name="40% - Accent6 2" xfId="12" xr:uid="{00000000-0005-0000-0000-000011000000}"/>
    <cellStyle name="60% - Accent1 2" xfId="13" xr:uid="{00000000-0005-0000-0000-000012000000}"/>
    <cellStyle name="60% - Accent2 2" xfId="14" xr:uid="{00000000-0005-0000-0000-000013000000}"/>
    <cellStyle name="60% - Accent3 2" xfId="15" xr:uid="{00000000-0005-0000-0000-000014000000}"/>
    <cellStyle name="60% - Accent4 2" xfId="16" xr:uid="{00000000-0005-0000-0000-000015000000}"/>
    <cellStyle name="60% - Accent5 2" xfId="17" xr:uid="{00000000-0005-0000-0000-000016000000}"/>
    <cellStyle name="60% - Accent6 2" xfId="18" xr:uid="{00000000-0005-0000-0000-000017000000}"/>
    <cellStyle name="Accent1 2" xfId="19" xr:uid="{00000000-0005-0000-0000-000018000000}"/>
    <cellStyle name="Accent2 2" xfId="20" xr:uid="{00000000-0005-0000-0000-000019000000}"/>
    <cellStyle name="Accent3 2" xfId="21" xr:uid="{00000000-0005-0000-0000-00001A000000}"/>
    <cellStyle name="Accent4 2" xfId="22" xr:uid="{00000000-0005-0000-0000-00001B000000}"/>
    <cellStyle name="Accent5 2" xfId="23" xr:uid="{00000000-0005-0000-0000-00001C000000}"/>
    <cellStyle name="Accent6 2" xfId="24" xr:uid="{00000000-0005-0000-0000-00001D000000}"/>
    <cellStyle name="Bad 2" xfId="25" xr:uid="{00000000-0005-0000-0000-00001E000000}"/>
    <cellStyle name="Calculation 2" xfId="26" xr:uid="{00000000-0005-0000-0000-00001F000000}"/>
    <cellStyle name="Check Cell 2" xfId="27" xr:uid="{00000000-0005-0000-0000-000020000000}"/>
    <cellStyle name="Explanatory Text 2" xfId="28" xr:uid="{00000000-0005-0000-0000-000021000000}"/>
    <cellStyle name="Good 2" xfId="29" xr:uid="{00000000-0005-0000-0000-000022000000}"/>
    <cellStyle name="Heading 1 2" xfId="30" xr:uid="{00000000-0005-0000-0000-000023000000}"/>
    <cellStyle name="Heading 2 2" xfId="31" xr:uid="{00000000-0005-0000-0000-000024000000}"/>
    <cellStyle name="Heading 3 2" xfId="32" xr:uid="{00000000-0005-0000-0000-000025000000}"/>
    <cellStyle name="Heading 4 2" xfId="33" xr:uid="{00000000-0005-0000-0000-000026000000}"/>
    <cellStyle name="Input 2" xfId="34" xr:uid="{00000000-0005-0000-0000-000027000000}"/>
    <cellStyle name="Linked Cell 2" xfId="35" xr:uid="{00000000-0005-0000-0000-000028000000}"/>
    <cellStyle name="Neutral 2" xfId="36" xr:uid="{00000000-0005-0000-0000-000029000000}"/>
    <cellStyle name="Normal" xfId="0" builtinId="0"/>
    <cellStyle name="Normal 101" xfId="37" xr:uid="{00000000-0005-0000-0000-00002A000000}"/>
    <cellStyle name="Normal 101 2" xfId="38" xr:uid="{00000000-0005-0000-0000-00002B000000}"/>
    <cellStyle name="Normal 101 2 2" xfId="39" xr:uid="{00000000-0005-0000-0000-00002C000000}"/>
    <cellStyle name="Normal 101 2 2 2" xfId="40" xr:uid="{00000000-0005-0000-0000-00002D000000}"/>
    <cellStyle name="Normal 101 2 3" xfId="41" xr:uid="{00000000-0005-0000-0000-00002E000000}"/>
    <cellStyle name="Normal 101 2 3 2" xfId="42" xr:uid="{00000000-0005-0000-0000-00002F000000}"/>
    <cellStyle name="Normal 101 2 4" xfId="43" xr:uid="{00000000-0005-0000-0000-000030000000}"/>
    <cellStyle name="Normal 101 3" xfId="44" xr:uid="{00000000-0005-0000-0000-000031000000}"/>
    <cellStyle name="Normal 101 3 2" xfId="45" xr:uid="{00000000-0005-0000-0000-000032000000}"/>
    <cellStyle name="Normal 101 4" xfId="46" xr:uid="{00000000-0005-0000-0000-000033000000}"/>
    <cellStyle name="Normal 101 4 2" xfId="47" xr:uid="{00000000-0005-0000-0000-000034000000}"/>
    <cellStyle name="Normal 101 5" xfId="48" xr:uid="{00000000-0005-0000-0000-000035000000}"/>
    <cellStyle name="Normal 101 5 2" xfId="49" xr:uid="{00000000-0005-0000-0000-000036000000}"/>
    <cellStyle name="Normal 101 6" xfId="50" xr:uid="{00000000-0005-0000-0000-000037000000}"/>
    <cellStyle name="Normal 101 6 2" xfId="51" xr:uid="{00000000-0005-0000-0000-000038000000}"/>
    <cellStyle name="Normal 101 7" xfId="52" xr:uid="{00000000-0005-0000-0000-000039000000}"/>
    <cellStyle name="Normal 2" xfId="53" xr:uid="{00000000-0005-0000-0000-00003A000000}"/>
    <cellStyle name="Normal 2 2" xfId="54" xr:uid="{00000000-0005-0000-0000-00003B000000}"/>
    <cellStyle name="Normal 3" xfId="55" xr:uid="{00000000-0005-0000-0000-00003C000000}"/>
    <cellStyle name="Normal 3 10 2 2 5" xfId="56" xr:uid="{00000000-0005-0000-0000-00003D000000}"/>
    <cellStyle name="Normal 3 10 2 2 5 2" xfId="57" xr:uid="{00000000-0005-0000-0000-00003E000000}"/>
    <cellStyle name="Normal 3 10 2 2 5 2 2" xfId="58" xr:uid="{00000000-0005-0000-0000-00003F000000}"/>
    <cellStyle name="Normal 3 10 2 2 5 2 2 2" xfId="59" xr:uid="{00000000-0005-0000-0000-000040000000}"/>
    <cellStyle name="Normal 3 10 2 2 5 2 3" xfId="60" xr:uid="{00000000-0005-0000-0000-000041000000}"/>
    <cellStyle name="Normal 3 10 2 2 5 2 3 2" xfId="61" xr:uid="{00000000-0005-0000-0000-000042000000}"/>
    <cellStyle name="Normal 3 10 2 2 5 2 4" xfId="62" xr:uid="{00000000-0005-0000-0000-000043000000}"/>
    <cellStyle name="Normal 3 10 2 2 5 3" xfId="63" xr:uid="{00000000-0005-0000-0000-000044000000}"/>
    <cellStyle name="Normal 3 10 2 2 5 3 2" xfId="64" xr:uid="{00000000-0005-0000-0000-000045000000}"/>
    <cellStyle name="Normal 3 10 2 2 5 4" xfId="65" xr:uid="{00000000-0005-0000-0000-000046000000}"/>
    <cellStyle name="Normal 3 10 2 2 5 4 2" xfId="66" xr:uid="{00000000-0005-0000-0000-000047000000}"/>
    <cellStyle name="Normal 3 10 2 2 5 5" xfId="67" xr:uid="{00000000-0005-0000-0000-000048000000}"/>
    <cellStyle name="Normal 3 10 2 2 5 5 2" xfId="68" xr:uid="{00000000-0005-0000-0000-000049000000}"/>
    <cellStyle name="Normal 3 10 2 2 5 6" xfId="69" xr:uid="{00000000-0005-0000-0000-00004A000000}"/>
    <cellStyle name="Normal 3 10 2 2 5 6 2" xfId="70" xr:uid="{00000000-0005-0000-0000-00004B000000}"/>
    <cellStyle name="Normal 3 10 2 2 5 7" xfId="71" xr:uid="{00000000-0005-0000-0000-00004C000000}"/>
    <cellStyle name="Normal 3 35 7" xfId="72" xr:uid="{00000000-0005-0000-0000-00004D000000}"/>
    <cellStyle name="Normal 3 35 7 2" xfId="73" xr:uid="{00000000-0005-0000-0000-00004E000000}"/>
    <cellStyle name="Normal 3 35 7 2 2" xfId="74" xr:uid="{00000000-0005-0000-0000-00004F000000}"/>
    <cellStyle name="Normal 3 35 7 3" xfId="75" xr:uid="{00000000-0005-0000-0000-000050000000}"/>
    <cellStyle name="Normal 3 35 7 3 2" xfId="76" xr:uid="{00000000-0005-0000-0000-000051000000}"/>
    <cellStyle name="Normal 3 35 7 4" xfId="77" xr:uid="{00000000-0005-0000-0000-000052000000}"/>
    <cellStyle name="Normal 3 35 7 4 2" xfId="78" xr:uid="{00000000-0005-0000-0000-000053000000}"/>
    <cellStyle name="Normal 3 35 7 5" xfId="79" xr:uid="{00000000-0005-0000-0000-000054000000}"/>
    <cellStyle name="Normal 3 35 7 5 2" xfId="80" xr:uid="{00000000-0005-0000-0000-000055000000}"/>
    <cellStyle name="Normal 3 35 7 6" xfId="81" xr:uid="{00000000-0005-0000-0000-000056000000}"/>
    <cellStyle name="Normal 3 35 7 6 2" xfId="82" xr:uid="{00000000-0005-0000-0000-000057000000}"/>
    <cellStyle name="Normal 3 35 7 7" xfId="83" xr:uid="{00000000-0005-0000-0000-000058000000}"/>
    <cellStyle name="Normal 3 36 7" xfId="84" xr:uid="{00000000-0005-0000-0000-000059000000}"/>
    <cellStyle name="Normal 3 36 7 2" xfId="85" xr:uid="{00000000-0005-0000-0000-00005A000000}"/>
    <cellStyle name="Normal 3 36 7 2 2" xfId="86" xr:uid="{00000000-0005-0000-0000-00005B000000}"/>
    <cellStyle name="Normal 3 36 7 2 2 2" xfId="87" xr:uid="{00000000-0005-0000-0000-00005C000000}"/>
    <cellStyle name="Normal 3 36 7 2 3" xfId="88" xr:uid="{00000000-0005-0000-0000-00005D000000}"/>
    <cellStyle name="Normal 3 36 7 2 3 2" xfId="89" xr:uid="{00000000-0005-0000-0000-00005E000000}"/>
    <cellStyle name="Normal 3 36 7 2 4" xfId="90" xr:uid="{00000000-0005-0000-0000-00005F000000}"/>
    <cellStyle name="Normal 3 36 7 3" xfId="91" xr:uid="{00000000-0005-0000-0000-000060000000}"/>
    <cellStyle name="Normal 3 36 7 3 2" xfId="92" xr:uid="{00000000-0005-0000-0000-000061000000}"/>
    <cellStyle name="Normal 3 36 7 4" xfId="93" xr:uid="{00000000-0005-0000-0000-000062000000}"/>
    <cellStyle name="Normal 3 36 7 4 2" xfId="94" xr:uid="{00000000-0005-0000-0000-000063000000}"/>
    <cellStyle name="Normal 3 36 7 5" xfId="95" xr:uid="{00000000-0005-0000-0000-000064000000}"/>
    <cellStyle name="Normal 3 36 7 5 2" xfId="96" xr:uid="{00000000-0005-0000-0000-000065000000}"/>
    <cellStyle name="Normal 3 36 7 6" xfId="97" xr:uid="{00000000-0005-0000-0000-000066000000}"/>
    <cellStyle name="Normal 3 36 7 6 2" xfId="98" xr:uid="{00000000-0005-0000-0000-000067000000}"/>
    <cellStyle name="Normal 3 36 7 7" xfId="99" xr:uid="{00000000-0005-0000-0000-000068000000}"/>
    <cellStyle name="Normal 3 42 7" xfId="100" xr:uid="{00000000-0005-0000-0000-000069000000}"/>
    <cellStyle name="Normal 3 42 7 2" xfId="101" xr:uid="{00000000-0005-0000-0000-00006A000000}"/>
    <cellStyle name="Normal 3 42 7 2 2" xfId="102" xr:uid="{00000000-0005-0000-0000-00006B000000}"/>
    <cellStyle name="Normal 3 42 7 3" xfId="103" xr:uid="{00000000-0005-0000-0000-00006C000000}"/>
    <cellStyle name="Normal 3 42 7 3 2" xfId="104" xr:uid="{00000000-0005-0000-0000-00006D000000}"/>
    <cellStyle name="Normal 3 42 7 4" xfId="105" xr:uid="{00000000-0005-0000-0000-00006E000000}"/>
    <cellStyle name="Normal 3 42 7 4 2" xfId="106" xr:uid="{00000000-0005-0000-0000-00006F000000}"/>
    <cellStyle name="Normal 3 42 7 5" xfId="107" xr:uid="{00000000-0005-0000-0000-000070000000}"/>
    <cellStyle name="Normal 3 42 7 5 2" xfId="108" xr:uid="{00000000-0005-0000-0000-000071000000}"/>
    <cellStyle name="Normal 3 42 7 6" xfId="109" xr:uid="{00000000-0005-0000-0000-000072000000}"/>
    <cellStyle name="Normal 3 42 7 6 2" xfId="110" xr:uid="{00000000-0005-0000-0000-000073000000}"/>
    <cellStyle name="Normal 3 42 7 7" xfId="111" xr:uid="{00000000-0005-0000-0000-000074000000}"/>
    <cellStyle name="Normal 3 64" xfId="112" xr:uid="{00000000-0005-0000-0000-000075000000}"/>
    <cellStyle name="Normal 3 64 2" xfId="113" xr:uid="{00000000-0005-0000-0000-000076000000}"/>
    <cellStyle name="Normal 39 2 2" xfId="114" xr:uid="{00000000-0005-0000-0000-000077000000}"/>
    <cellStyle name="Normal 4" xfId="115" xr:uid="{00000000-0005-0000-0000-000078000000}"/>
    <cellStyle name="Normal 5" xfId="116" xr:uid="{00000000-0005-0000-0000-000079000000}"/>
    <cellStyle name="Normal 74 2" xfId="117" xr:uid="{00000000-0005-0000-0000-00007A000000}"/>
    <cellStyle name="Normal 76 2 2" xfId="118" xr:uid="{00000000-0005-0000-0000-00007B000000}"/>
    <cellStyle name="Normal 83 2" xfId="119" xr:uid="{00000000-0005-0000-0000-00007C000000}"/>
    <cellStyle name="Normal_RFP Requirements Template" xfId="120" xr:uid="{00000000-0005-0000-0000-00007D000000}"/>
    <cellStyle name="Normal_VCC RMS Functional Reqs Workbook" xfId="121" xr:uid="{00000000-0005-0000-0000-00007E000000}"/>
    <cellStyle name="Note 2" xfId="122" xr:uid="{00000000-0005-0000-0000-00007F000000}"/>
    <cellStyle name="Note 3" xfId="123" xr:uid="{00000000-0005-0000-0000-000080000000}"/>
    <cellStyle name="Output 2" xfId="124" xr:uid="{00000000-0005-0000-0000-000081000000}"/>
    <cellStyle name="Title 2" xfId="125" xr:uid="{00000000-0005-0000-0000-000082000000}"/>
    <cellStyle name="Total 2" xfId="126" xr:uid="{00000000-0005-0000-0000-000083000000}"/>
    <cellStyle name="Warning Text 2" xfId="127" xr:uid="{00000000-0005-0000-0000-000084000000}"/>
  </cellStyles>
  <dxfs count="364">
    <dxf>
      <fill>
        <patternFill>
          <bgColor rgb="FFFF00FF"/>
        </patternFill>
      </fill>
    </dxf>
    <dxf>
      <fill>
        <patternFill>
          <bgColor rgb="FFFF0000"/>
        </patternFill>
      </fill>
    </dxf>
    <dxf>
      <font>
        <b/>
        <i val="0"/>
      </font>
      <fill>
        <patternFill>
          <bgColor rgb="FFFF0000"/>
        </patternFill>
      </fill>
    </dxf>
    <dxf>
      <fill>
        <patternFill>
          <bgColor theme="5" tint="0.79989013336588644"/>
        </patternFill>
      </fill>
    </dxf>
    <dxf>
      <font>
        <color rgb="FFFF0000"/>
      </font>
    </dxf>
    <dxf>
      <font>
        <b/>
        <i val="0"/>
      </font>
      <fill>
        <patternFill>
          <bgColor rgb="FFFF0000"/>
        </patternFill>
      </fill>
    </dxf>
    <dxf>
      <fill>
        <patternFill>
          <bgColor rgb="FFFF00FF"/>
        </patternFill>
      </fill>
    </dxf>
    <dxf>
      <fill>
        <patternFill>
          <bgColor rgb="FFFFFF00"/>
        </patternFill>
      </fill>
    </dxf>
    <dxf>
      <fill>
        <patternFill>
          <bgColor rgb="FFFF00FF"/>
        </patternFill>
      </fill>
    </dxf>
    <dxf>
      <fill>
        <patternFill>
          <bgColor rgb="FFFFFF00"/>
        </patternFill>
      </fill>
    </dxf>
    <dxf>
      <font>
        <color rgb="FFFF0000"/>
      </font>
    </dxf>
    <dxf>
      <font>
        <b/>
        <i val="0"/>
      </font>
      <fill>
        <patternFill>
          <bgColor rgb="FFFF0000"/>
        </patternFill>
      </fill>
    </dxf>
    <dxf>
      <fill>
        <patternFill>
          <bgColor rgb="FFFF00FF"/>
        </patternFill>
      </fill>
    </dxf>
    <dxf>
      <fill>
        <patternFill>
          <bgColor rgb="FFFFC000"/>
        </patternFill>
      </fill>
    </dxf>
    <dxf>
      <fill>
        <patternFill>
          <bgColor rgb="FFFF0000"/>
        </patternFill>
      </fill>
    </dxf>
    <dxf>
      <fill>
        <patternFill>
          <bgColor rgb="FFFFFF00"/>
        </patternFill>
      </fill>
    </dxf>
    <dxf>
      <fill>
        <patternFill>
          <bgColor theme="5" tint="0.79989013336588644"/>
        </patternFill>
      </fill>
    </dxf>
    <dxf>
      <fill>
        <patternFill>
          <bgColor theme="5" tint="0.79989013336588644"/>
        </patternFill>
      </fill>
    </dxf>
    <dxf>
      <fill>
        <patternFill>
          <bgColor theme="5" tint="0.79989013336588644"/>
        </patternFill>
      </fill>
    </dxf>
    <dxf>
      <fill>
        <patternFill>
          <bgColor theme="5" tint="0.79989013336588644"/>
        </patternFill>
      </fill>
    </dxf>
    <dxf>
      <fill>
        <patternFill>
          <bgColor theme="5" tint="0.79989013336588644"/>
        </patternFill>
      </fill>
    </dxf>
    <dxf>
      <fill>
        <patternFill>
          <bgColor theme="5" tint="0.79989013336588644"/>
        </patternFill>
      </fill>
    </dxf>
    <dxf>
      <fill>
        <patternFill>
          <bgColor theme="5" tint="0.79989013336588644"/>
        </patternFill>
      </fill>
    </dxf>
    <dxf>
      <fill>
        <patternFill>
          <bgColor theme="5" tint="0.79989013336588644"/>
        </patternFill>
      </fill>
    </dxf>
    <dxf>
      <fill>
        <patternFill>
          <bgColor theme="5" tint="0.79989013336588644"/>
        </patternFill>
      </fill>
    </dxf>
    <dxf>
      <fill>
        <patternFill>
          <bgColor theme="5" tint="0.79989013336588644"/>
        </patternFill>
      </fill>
    </dxf>
    <dxf>
      <fill>
        <patternFill>
          <bgColor theme="5" tint="0.79989013336588644"/>
        </patternFill>
      </fill>
    </dxf>
    <dxf>
      <fill>
        <patternFill>
          <bgColor theme="5" tint="0.79989013336588644"/>
        </patternFill>
      </fill>
    </dxf>
    <dxf>
      <fill>
        <patternFill>
          <bgColor theme="5" tint="0.79989013336588644"/>
        </patternFill>
      </fill>
    </dxf>
    <dxf>
      <font>
        <color rgb="FFFF0000"/>
      </font>
    </dxf>
    <dxf>
      <fill>
        <patternFill>
          <bgColor rgb="FFFFFF00"/>
        </patternFill>
      </fill>
    </dxf>
    <dxf>
      <fill>
        <patternFill>
          <bgColor rgb="FFFFC000"/>
        </patternFill>
      </fill>
    </dxf>
    <dxf>
      <fill>
        <patternFill>
          <bgColor rgb="FFFF0000"/>
        </patternFill>
      </fill>
    </dxf>
    <dxf>
      <font>
        <b/>
        <i val="0"/>
      </font>
      <fill>
        <patternFill>
          <bgColor rgb="FFFF0000"/>
        </patternFill>
      </fill>
    </dxf>
    <dxf>
      <font>
        <color rgb="FFFF0000"/>
      </font>
    </dxf>
    <dxf>
      <fill>
        <patternFill>
          <bgColor theme="5" tint="0.79989013336588644"/>
        </patternFill>
      </fill>
    </dxf>
    <dxf>
      <font>
        <color rgb="FFFF0000"/>
      </font>
    </dxf>
    <dxf>
      <font>
        <color rgb="FFFF0000"/>
      </font>
    </dxf>
    <dxf>
      <font>
        <color rgb="FFFFFFFF"/>
      </font>
      <fill>
        <patternFill>
          <bgColor theme="1"/>
        </patternFill>
      </fill>
    </dxf>
    <dxf>
      <font>
        <color rgb="FFFFFFFF"/>
      </font>
      <fill>
        <patternFill>
          <bgColor rgb="FF996633"/>
        </patternFill>
      </fill>
    </dxf>
    <dxf>
      <fill>
        <patternFill>
          <bgColor rgb="FFFFB089"/>
        </patternFill>
      </fill>
    </dxf>
    <dxf>
      <font>
        <color rgb="FFFFFFFF"/>
      </font>
      <fill>
        <patternFill>
          <bgColor rgb="FF7B7B7B"/>
        </patternFill>
      </fill>
    </dxf>
    <dxf>
      <fill>
        <patternFill>
          <bgColor rgb="FFBFBFBF"/>
        </patternFill>
      </fill>
    </dxf>
    <dxf>
      <fill>
        <patternFill>
          <bgColor rgb="FFDBDBDB"/>
        </patternFill>
      </fill>
    </dxf>
    <dxf>
      <font>
        <color rgb="FFFFFFFF"/>
      </font>
      <fill>
        <patternFill>
          <bgColor rgb="FF660066"/>
        </patternFill>
      </fill>
    </dxf>
    <dxf>
      <font>
        <color rgb="FFFFFFFF"/>
      </font>
      <fill>
        <patternFill>
          <bgColor rgb="FFCC00FF"/>
        </patternFill>
      </fill>
    </dxf>
    <dxf>
      <font>
        <color rgb="FFFFFFFF"/>
      </font>
      <fill>
        <patternFill>
          <bgColor rgb="FF1F4E78"/>
        </patternFill>
      </fill>
    </dxf>
    <dxf>
      <font>
        <color rgb="FFFFFFFF"/>
      </font>
      <fill>
        <patternFill>
          <bgColor rgb="FF2F75B5"/>
        </patternFill>
      </fill>
    </dxf>
    <dxf>
      <fill>
        <patternFill>
          <bgColor rgb="FF9BC2E6"/>
        </patternFill>
      </fill>
    </dxf>
    <dxf>
      <font>
        <color rgb="FFFFFFFF"/>
      </font>
      <fill>
        <patternFill>
          <bgColor rgb="FF007000"/>
        </patternFill>
      </fill>
    </dxf>
    <dxf>
      <font>
        <color rgb="FFFFFFFF"/>
      </font>
      <fill>
        <patternFill>
          <bgColor rgb="FF009900"/>
        </patternFill>
      </fill>
    </dxf>
    <dxf>
      <fill>
        <patternFill>
          <bgColor theme="9" tint="0.59987182226020086"/>
        </patternFill>
      </fill>
    </dxf>
    <dxf>
      <fill>
        <patternFill>
          <bgColor rgb="FF00FF00"/>
        </patternFill>
      </fill>
    </dxf>
    <dxf>
      <fill>
        <patternFill>
          <bgColor rgb="FFFFFF00"/>
        </patternFill>
      </fill>
    </dxf>
    <dxf>
      <fill>
        <patternFill>
          <bgColor rgb="FFFFC000"/>
        </patternFill>
      </fill>
    </dxf>
    <dxf>
      <font>
        <color rgb="FFFFFFFF"/>
      </font>
      <fill>
        <patternFill>
          <bgColor rgb="FFFF0000"/>
        </patternFill>
      </fill>
    </dxf>
    <dxf>
      <fill>
        <patternFill>
          <bgColor theme="9" tint="0.59987182226020086"/>
        </patternFill>
      </fill>
    </dxf>
    <dxf>
      <fill>
        <patternFill>
          <bgColor rgb="FFFF00FF"/>
        </patternFill>
      </fill>
    </dxf>
    <dxf>
      <fill>
        <patternFill>
          <bgColor rgb="FFFFFF00"/>
        </patternFill>
      </fill>
    </dxf>
    <dxf>
      <fill>
        <patternFill>
          <bgColor rgb="FFFFC000"/>
        </patternFill>
      </fill>
    </dxf>
    <dxf>
      <fill>
        <patternFill>
          <bgColor rgb="FFFF0000"/>
        </patternFill>
      </fill>
    </dxf>
    <dxf>
      <fill>
        <patternFill>
          <bgColor theme="5" tint="0.79989013336588644"/>
        </patternFill>
      </fill>
    </dxf>
    <dxf>
      <font>
        <color rgb="FFFF0000"/>
      </font>
    </dxf>
    <dxf>
      <fill>
        <patternFill>
          <bgColor rgb="FFFF00FF"/>
        </patternFill>
      </fill>
    </dxf>
    <dxf>
      <fill>
        <patternFill>
          <bgColor rgb="FFFFFF00"/>
        </patternFill>
      </fill>
    </dxf>
    <dxf>
      <fill>
        <patternFill>
          <bgColor rgb="FFFFC000"/>
        </patternFill>
      </fill>
    </dxf>
    <dxf>
      <fill>
        <patternFill>
          <bgColor rgb="FFFF0000"/>
        </patternFill>
      </fill>
    </dxf>
    <dxf>
      <fill>
        <patternFill>
          <bgColor theme="5" tint="0.79989013336588644"/>
        </patternFill>
      </fill>
    </dxf>
    <dxf>
      <font>
        <color rgb="FFFF0000"/>
      </font>
    </dxf>
    <dxf>
      <font>
        <b/>
        <i val="0"/>
      </font>
      <fill>
        <patternFill>
          <bgColor rgb="FFFF0000"/>
        </patternFill>
      </fill>
    </dxf>
    <dxf>
      <fill>
        <patternFill>
          <bgColor rgb="FFFF00FF"/>
        </patternFill>
      </fill>
    </dxf>
    <dxf>
      <fill>
        <patternFill>
          <bgColor rgb="FFFF00FF"/>
        </patternFill>
      </fill>
    </dxf>
    <dxf>
      <fill>
        <patternFill>
          <bgColor rgb="FFFFC000"/>
        </patternFill>
      </fill>
    </dxf>
    <dxf>
      <fill>
        <patternFill>
          <bgColor rgb="FFFF0000"/>
        </patternFill>
      </fill>
    </dxf>
    <dxf>
      <fill>
        <patternFill>
          <bgColor rgb="FFFFFF00"/>
        </patternFill>
      </fill>
    </dxf>
    <dxf>
      <font>
        <color rgb="FFFF0000"/>
      </font>
    </dxf>
    <dxf>
      <fill>
        <patternFill>
          <bgColor rgb="FFFFFF00"/>
        </patternFill>
      </fill>
    </dxf>
    <dxf>
      <fill>
        <patternFill>
          <bgColor theme="5" tint="0.79989013336588644"/>
        </patternFill>
      </fill>
    </dxf>
    <dxf>
      <font>
        <color rgb="FFFF0000"/>
      </font>
    </dxf>
    <dxf>
      <fill>
        <patternFill>
          <bgColor rgb="FFFFFF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theme="5" tint="0.79989013336588644"/>
        </patternFill>
      </fill>
    </dxf>
    <dxf>
      <fill>
        <patternFill>
          <bgColor theme="5" tint="0.79989013336588644"/>
        </patternFill>
      </fill>
    </dxf>
    <dxf>
      <fill>
        <patternFill>
          <bgColor theme="5" tint="0.79989013336588644"/>
        </patternFill>
      </fill>
    </dxf>
    <dxf>
      <fill>
        <patternFill>
          <bgColor theme="5" tint="0.79989013336588644"/>
        </patternFill>
      </fill>
    </dxf>
    <dxf>
      <fill>
        <patternFill>
          <bgColor theme="5" tint="0.79989013336588644"/>
        </patternFill>
      </fill>
    </dxf>
    <dxf>
      <fill>
        <patternFill>
          <bgColor theme="5" tint="0.79989013336588644"/>
        </patternFill>
      </fill>
    </dxf>
    <dxf>
      <fill>
        <patternFill>
          <bgColor theme="5" tint="0.79989013336588644"/>
        </patternFill>
      </fill>
    </dxf>
    <dxf>
      <font>
        <color rgb="FFFF0000"/>
      </font>
    </dxf>
    <dxf>
      <fill>
        <patternFill>
          <bgColor rgb="FFFF00FF"/>
        </patternFill>
      </fill>
    </dxf>
    <dxf>
      <fill>
        <patternFill>
          <bgColor rgb="FFFF00FF"/>
        </patternFill>
      </fill>
    </dxf>
    <dxf>
      <fill>
        <patternFill>
          <bgColor rgb="FFFFFF00"/>
        </patternFill>
      </fill>
    </dxf>
    <dxf>
      <fill>
        <patternFill>
          <bgColor rgb="FFFFC000"/>
        </patternFill>
      </fill>
    </dxf>
    <dxf>
      <fill>
        <patternFill>
          <bgColor rgb="FFFF0000"/>
        </patternFill>
      </fill>
    </dxf>
    <dxf>
      <font>
        <color rgb="FFFF0000"/>
      </font>
    </dxf>
    <dxf>
      <fill>
        <patternFill>
          <bgColor theme="5" tint="0.79989013336588644"/>
        </patternFill>
      </fill>
    </dxf>
    <dxf>
      <font>
        <color rgb="FFFF0000"/>
      </font>
    </dxf>
    <dxf>
      <fill>
        <patternFill>
          <bgColor rgb="FFFF00FF"/>
        </patternFill>
      </fill>
    </dxf>
    <dxf>
      <fill>
        <patternFill>
          <bgColor rgb="FFFFFF00"/>
        </patternFill>
      </fill>
    </dxf>
    <dxf>
      <fill>
        <patternFill>
          <bgColor rgb="FFFFC000"/>
        </patternFill>
      </fill>
    </dxf>
    <dxf>
      <fill>
        <patternFill>
          <bgColor rgb="FFFF0000"/>
        </patternFill>
      </fill>
    </dxf>
    <dxf>
      <fill>
        <patternFill>
          <bgColor theme="5" tint="0.79989013336588644"/>
        </patternFill>
      </fill>
    </dxf>
    <dxf>
      <font>
        <color rgb="FFFF0000"/>
      </font>
    </dxf>
    <dxf>
      <fill>
        <patternFill>
          <bgColor rgb="FFFFC000"/>
        </patternFill>
      </fill>
    </dxf>
    <dxf>
      <fill>
        <patternFill>
          <bgColor rgb="FFFF0000"/>
        </patternFill>
      </fill>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ill>
        <patternFill>
          <bgColor theme="5" tint="0.79998168889431442"/>
        </patternFill>
      </fill>
    </dxf>
    <dxf>
      <font>
        <color rgb="FFFF0000"/>
      </font>
    </dxf>
    <dxf>
      <fill>
        <patternFill>
          <bgColor indexed="13"/>
        </patternFill>
      </fill>
    </dxf>
    <dxf>
      <fill>
        <patternFill>
          <bgColor indexed="14"/>
        </patternFill>
      </fill>
    </dxf>
    <dxf>
      <fill>
        <patternFill>
          <bgColor indexed="14"/>
        </patternFill>
      </fill>
    </dxf>
    <dxf>
      <numFmt numFmtId="30" formatCode="@"/>
      <fill>
        <patternFill>
          <bgColor rgb="FFFFC000"/>
        </patternFill>
      </fill>
    </dxf>
    <dxf>
      <fill>
        <patternFill>
          <bgColor rgb="FFFF0000"/>
        </patternFill>
      </fill>
    </dxf>
    <dxf>
      <fill>
        <patternFill>
          <bgColor indexed="13"/>
        </patternFill>
      </fill>
    </dxf>
    <dxf>
      <font>
        <color rgb="FFFF0000"/>
      </font>
    </dxf>
    <dxf>
      <fill>
        <patternFill>
          <bgColor rgb="FFFFFF00"/>
        </patternFill>
      </fill>
    </dxf>
    <dxf>
      <fill>
        <patternFill>
          <bgColor theme="5" tint="0.79989013336588644"/>
        </patternFill>
      </fill>
    </dxf>
    <dxf>
      <font>
        <color rgb="FFFF0000"/>
      </font>
    </dxf>
    <dxf>
      <fill>
        <patternFill>
          <bgColor rgb="FFFF00FF"/>
        </patternFill>
      </fill>
    </dxf>
    <dxf>
      <fill>
        <patternFill>
          <bgColor rgb="FFFFFF00"/>
        </patternFill>
      </fill>
    </dxf>
    <dxf>
      <numFmt numFmtId="30" formatCode="@"/>
      <fill>
        <patternFill>
          <bgColor rgb="FFFFC000"/>
        </patternFill>
      </fill>
    </dxf>
    <dxf>
      <fill>
        <patternFill>
          <bgColor rgb="FFFF0000"/>
        </patternFill>
      </fill>
    </dxf>
    <dxf>
      <font>
        <color rgb="FFFF0000"/>
      </font>
    </dxf>
    <dxf>
      <fill>
        <patternFill>
          <bgColor theme="5" tint="0.79989013336588644"/>
        </patternFill>
      </fill>
    </dxf>
    <dxf>
      <font>
        <color rgb="FFFF0000"/>
      </font>
    </dxf>
    <dxf>
      <fill>
        <patternFill>
          <bgColor rgb="FFFF00FF"/>
        </patternFill>
      </fill>
    </dxf>
    <dxf>
      <fill>
        <patternFill>
          <bgColor rgb="FFFFC000"/>
        </patternFill>
      </fill>
    </dxf>
    <dxf>
      <fill>
        <patternFill>
          <bgColor rgb="FFFF0000"/>
        </patternFill>
      </fill>
    </dxf>
    <dxf>
      <fill>
        <patternFill>
          <bgColor rgb="FFFFFF00"/>
        </patternFill>
      </fill>
    </dxf>
    <dxf>
      <font>
        <color rgb="FFFF0000"/>
      </font>
    </dxf>
    <dxf>
      <fill>
        <patternFill>
          <bgColor theme="5" tint="0.79989013336588644"/>
        </patternFill>
      </fill>
    </dxf>
    <dxf>
      <font>
        <color rgb="FFFF0000"/>
      </font>
    </dxf>
    <dxf>
      <fill>
        <patternFill>
          <bgColor rgb="FFFFC000"/>
        </patternFill>
      </fill>
    </dxf>
    <dxf>
      <fill>
        <patternFill>
          <bgColor rgb="FFFF0000"/>
        </patternFill>
      </fill>
    </dxf>
    <dxf>
      <fill>
        <patternFill>
          <bgColor rgb="FFFFFF00"/>
        </patternFill>
      </fill>
    </dxf>
    <dxf>
      <font>
        <color rgb="FFFF0000"/>
      </font>
    </dxf>
    <dxf>
      <font>
        <b/>
        <i val="0"/>
      </font>
      <fill>
        <patternFill>
          <bgColor rgb="FFFF0000"/>
        </patternFill>
      </fill>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FF00"/>
        </patternFill>
      </fill>
    </dxf>
    <dxf>
      <fill>
        <patternFill>
          <bgColor rgb="FFFFC000"/>
        </patternFill>
      </fill>
    </dxf>
    <dxf>
      <fill>
        <patternFill>
          <bgColor rgb="FFFF0000"/>
        </patternFill>
      </fill>
    </dxf>
    <dxf>
      <font>
        <color rgb="FFFF0000"/>
      </font>
    </dxf>
    <dxf>
      <fill>
        <patternFill>
          <bgColor theme="5" tint="0.79989013336588644"/>
        </patternFill>
      </fill>
    </dxf>
    <dxf>
      <font>
        <color rgb="FFFF0000"/>
      </font>
    </dxf>
    <dxf>
      <font>
        <b/>
        <i val="0"/>
      </font>
      <fill>
        <patternFill>
          <bgColor rgb="FFFF0000"/>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00FF"/>
        </patternFill>
      </fill>
    </dxf>
    <dxf>
      <fill>
        <patternFill>
          <bgColor rgb="FFFFFF00"/>
        </patternFill>
      </fill>
    </dxf>
    <dxf>
      <fill>
        <patternFill>
          <bgColor rgb="FFFFC000"/>
        </patternFill>
      </fill>
    </dxf>
    <dxf>
      <fill>
        <patternFill>
          <bgColor rgb="FFFF0000"/>
        </patternFill>
      </fill>
    </dxf>
    <dxf>
      <font>
        <color rgb="FFFF0000"/>
      </font>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ont>
        <b/>
        <i val="0"/>
      </font>
      <fill>
        <patternFill>
          <bgColor rgb="FFFF0000"/>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ill>
        <patternFill>
          <bgColor theme="5" tint="0.79989013336588644"/>
        </patternFill>
      </fill>
    </dxf>
    <dxf>
      <font>
        <color rgb="FFFF0000"/>
      </font>
    </dxf>
    <dxf>
      <fill>
        <patternFill>
          <bgColor rgb="FFFFFF00"/>
        </patternFill>
      </fill>
    </dxf>
    <dxf>
      <fill>
        <patternFill>
          <bgColor rgb="FFFFC000"/>
        </patternFill>
      </fill>
    </dxf>
    <dxf>
      <fill>
        <patternFill>
          <bgColor rgb="FFFF0000"/>
        </patternFill>
      </fill>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00FF"/>
        </patternFill>
      </fill>
    </dxf>
    <dxf>
      <fill>
        <patternFill>
          <bgColor rgb="FFFFFF00"/>
        </patternFill>
      </fill>
    </dxf>
    <dxf>
      <fill>
        <patternFill>
          <bgColor rgb="FFFFC000"/>
        </patternFill>
      </fill>
    </dxf>
    <dxf>
      <fill>
        <patternFill>
          <bgColor rgb="FFFF0000"/>
        </patternFill>
      </fill>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ont>
        <b/>
        <i val="0"/>
      </font>
      <fill>
        <patternFill>
          <bgColor rgb="FFFF0000"/>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ont>
        <b/>
        <i val="0"/>
      </font>
      <fill>
        <patternFill>
          <bgColor rgb="FFFF0000"/>
        </patternFill>
      </fill>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s>
  <tableStyles count="0" defaultTableStyle="TableStyleMedium2" defaultPivotStyle="PivotStyleLight16"/>
  <colors>
    <indexedColors>
      <rgbColor rgb="FF000000"/>
      <rgbColor rgb="FFFFFFFF"/>
      <rgbColor rgb="FFFF0000"/>
      <rgbColor rgb="FF00FF00"/>
      <rgbColor rgb="FFD9D9D9"/>
      <rgbColor rgb="FFFFFF00"/>
      <rgbColor rgb="FFFF00FF"/>
      <rgbColor rgb="FF9BC2E6"/>
      <rgbColor rgb="FFC00000"/>
      <rgbColor rgb="FF008300"/>
      <rgbColor rgb="FF002060"/>
      <rgbColor rgb="FF7B7B7B"/>
      <rgbColor rgb="FF800080"/>
      <rgbColor rgb="FF006AED"/>
      <rgbColor rgb="FFC0C0C0"/>
      <rgbColor rgb="FF808080"/>
      <rgbColor rgb="FF729FCF"/>
      <rgbColor rgb="FF7030A0"/>
      <rgbColor rgb="FFFFFFCC"/>
      <rgbColor rgb="FFCCFFFF"/>
      <rgbColor rgb="FF660066"/>
      <rgbColor rgb="FFFF8080"/>
      <rgbColor rgb="FF0066CC"/>
      <rgbColor rgb="FFCCCCFF"/>
      <rgbColor rgb="FFD8E5B1"/>
      <rgbColor rgb="FFCC00FF"/>
      <rgbColor rgb="FFFFFF38"/>
      <rgbColor rgb="FFC8E1FF"/>
      <rgbColor rgb="FFFFB089"/>
      <rgbColor rgb="FFD6C2D6"/>
      <rgbColor rgb="FF00B050"/>
      <rgbColor rgb="FFDBDBDB"/>
      <rgbColor rgb="FF00B0F0"/>
      <rgbColor rgb="FFBFECFF"/>
      <rgbColor rgb="FFCCFFCC"/>
      <rgbColor rgb="FFFFFF99"/>
      <rgbColor rgb="FF99CCFF"/>
      <rgbColor rgb="FFFF99CC"/>
      <rgbColor rgb="FFCC99FF"/>
      <rgbColor rgb="FFFFCC99"/>
      <rgbColor rgb="FF2F75B5"/>
      <rgbColor rgb="FF33CCCC"/>
      <rgbColor rgb="FFFFC000"/>
      <rgbColor rgb="FFFFCC00"/>
      <rgbColor rgb="FFFF9900"/>
      <rgbColor rgb="FFFF6600"/>
      <rgbColor rgb="FF6B5E9B"/>
      <rgbColor rgb="FF969696"/>
      <rgbColor rgb="FF003366"/>
      <rgbColor rgb="FF339966"/>
      <rgbColor rgb="FF003577"/>
      <rgbColor rgb="FFBFBFBF"/>
      <rgbColor rgb="FF994D11"/>
      <rgbColor rgb="FFFF40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114480</xdr:colOff>
      <xdr:row>1</xdr:row>
      <xdr:rowOff>47520</xdr:rowOff>
    </xdr:from>
    <xdr:to>
      <xdr:col>15</xdr:col>
      <xdr:colOff>618840</xdr:colOff>
      <xdr:row>41</xdr:row>
      <xdr:rowOff>101520</xdr:rowOff>
    </xdr:to>
    <xdr:sp macro="" textlink="">
      <xdr:nvSpPr>
        <xdr:cNvPr id="2" name="TextBox 1">
          <a:extLst>
            <a:ext uri="{FF2B5EF4-FFF2-40B4-BE49-F238E27FC236}">
              <a16:creationId xmlns:a16="http://schemas.microsoft.com/office/drawing/2014/main" id="{00000000-0008-0000-0300-000002000000}"/>
            </a:ext>
          </a:extLst>
        </xdr:cNvPr>
        <xdr:cNvSpPr/>
      </xdr:nvSpPr>
      <xdr:spPr>
        <a:xfrm>
          <a:off x="114480" y="228600"/>
          <a:ext cx="10346760" cy="729288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US" sz="1100" b="1" strike="noStrike" spc="-1">
              <a:solidFill>
                <a:srgbClr val="C00000"/>
              </a:solidFill>
              <a:latin typeface="Arial Narrow"/>
            </a:rPr>
            <a:t>INTRODUCTION</a:t>
          </a:r>
          <a:endParaRPr lang="en-US" sz="1100" b="0" strike="noStrike" spc="-1">
            <a:latin typeface="Times New Roman"/>
          </a:endParaRPr>
        </a:p>
        <a:p>
          <a:pPr>
            <a:lnSpc>
              <a:spcPct val="100000"/>
            </a:lnSpc>
          </a:pPr>
          <a:r>
            <a:rPr lang="en-US" sz="1100" b="0" strike="noStrike" spc="-1">
              <a:solidFill>
                <a:schemeClr val="dk1"/>
              </a:solidFill>
              <a:latin typeface="Arial Narrow"/>
            </a:rPr>
            <a:t>Functional specifications are presented to potential vendors to identify whether their solution can provide the functionality specified. Public safety vendors have developed commercial-off-the-shelf (COTS) products that incorporate functionality requested from a wide variety of public safety clients throughout the lifecycle of the product. </a:t>
          </a:r>
          <a:endParaRPr lang="en-US" sz="1100" b="0" strike="noStrike" spc="-1">
            <a:latin typeface="Times New Roman"/>
          </a:endParaRPr>
        </a:p>
        <a:p>
          <a:pPr>
            <a:lnSpc>
              <a:spcPct val="100000"/>
            </a:lnSpc>
          </a:pPr>
          <a:r>
            <a:rPr lang="en-US" sz="1100" b="0" strike="noStrike" spc="-1">
              <a:solidFill>
                <a:schemeClr val="dk1"/>
              </a:solidFill>
              <a:latin typeface="Arial Narrow"/>
            </a:rPr>
            <a:t> </a:t>
          </a:r>
          <a:endParaRPr lang="en-US" sz="1100" b="0" strike="noStrike" spc="-1">
            <a:latin typeface="Times New Roman"/>
          </a:endParaRPr>
        </a:p>
        <a:p>
          <a:pPr>
            <a:lnSpc>
              <a:spcPct val="100000"/>
            </a:lnSpc>
          </a:pPr>
          <a:r>
            <a:rPr lang="en-US" sz="1100" b="0" strike="noStrike" spc="-1">
              <a:solidFill>
                <a:schemeClr val="dk1"/>
              </a:solidFill>
              <a:latin typeface="Arial Narrow"/>
            </a:rPr>
            <a:t>In providing specifications and indicating whether those are Critical or Important to the City's operation, vendor responses will provide an accurate accounting of what functionality their solution will provide and what it will not. Consequently, the selected vendor will be contractually held to any specification they mark as functionally available and that capability will be tested during the acceptance cycle. </a:t>
          </a:r>
          <a:endParaRPr lang="en-US" sz="1100" b="0" strike="noStrike" spc="-1">
            <a:latin typeface="Times New Roman"/>
          </a:endParaRPr>
        </a:p>
        <a:p>
          <a:pPr>
            <a:lnSpc>
              <a:spcPct val="100000"/>
            </a:lnSpc>
          </a:pPr>
          <a:r>
            <a:rPr lang="en-US" sz="1100" b="0" strike="noStrike" spc="-1">
              <a:solidFill>
                <a:schemeClr val="dk1"/>
              </a:solidFill>
              <a:latin typeface="Arial Narrow"/>
            </a:rPr>
            <a:t> </a:t>
          </a:r>
          <a:endParaRPr lang="en-US" sz="1100" b="0" strike="noStrike" spc="-1">
            <a:latin typeface="Times New Roman"/>
          </a:endParaRPr>
        </a:p>
        <a:p>
          <a:pPr>
            <a:lnSpc>
              <a:spcPct val="100000"/>
            </a:lnSpc>
          </a:pPr>
          <a:r>
            <a:rPr lang="en-US" sz="1100" b="1" strike="noStrike" spc="-1">
              <a:solidFill>
                <a:srgbClr val="C00000"/>
              </a:solidFill>
              <a:latin typeface="Arial Narrow"/>
            </a:rPr>
            <a:t>INSTRUCTIONS</a:t>
          </a:r>
          <a:endParaRPr lang="en-US" sz="1100" b="0" strike="noStrike" spc="-1">
            <a:latin typeface="Times New Roman"/>
          </a:endParaRPr>
        </a:p>
        <a:p>
          <a:pPr>
            <a:lnSpc>
              <a:spcPct val="100000"/>
            </a:lnSpc>
          </a:pPr>
          <a:r>
            <a:rPr lang="en-US" sz="1100" b="0" strike="noStrike" spc="-1">
              <a:solidFill>
                <a:schemeClr val="dk1"/>
              </a:solidFill>
              <a:latin typeface="Arial Narrow"/>
            </a:rPr>
            <a:t>The Contractors shall use the Functional Requirements Response to indicate how they can satisfy the City's business needs, workflows, requirements, and identify the capabilities available in the Contractor's solutions.</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chemeClr val="dk1"/>
              </a:solidFill>
              <a:latin typeface="Arial Narrow"/>
            </a:rPr>
            <a:t>Complete each workbook spreadsheet as directed. Modification or alteration of the workbook format may result in rejection of the proposal.  Column D in each workbook provides a Contractor Workspace area so that notes or comments can be added while the requirement responses are being prepared.  Internal notes or comments unrelated to an Exception, alternative functionality, or capability should be removed prior to submittal.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chemeClr val="dk1"/>
              </a:solidFill>
              <a:latin typeface="Arial Narrow"/>
            </a:rPr>
            <a:t>The Contractor is instructed to only mark 'Function Available’ when they can provide 100% of the functionality listed.  If the Contractor can provide partial functionality or can provide similar functionality via another means, then they should mark ‘Exception’ and provide an explanation. Contractors are encouraged to provide as much detail as possible if alternative functionality/capabilities are available that partially or alternatively meet the identified functional requirement, including planned release dates for future improvements that will include this functionality. Planned release dates for future improvements must be included.  Exceptions will have no tabulation value.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chemeClr val="dk1"/>
              </a:solidFill>
              <a:latin typeface="Arial Narrow"/>
            </a:rPr>
            <a:t>Contractors are to read each requirement and indicate one of the following three answers:</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1" strike="noStrike" spc="-1">
              <a:solidFill>
                <a:schemeClr val="dk1"/>
              </a:solidFill>
              <a:latin typeface="Arial Narrow"/>
            </a:rPr>
            <a:t>Function Available </a:t>
          </a:r>
          <a:r>
            <a:rPr lang="en-US" sz="1100" b="0" strike="noStrike" spc="-1">
              <a:solidFill>
                <a:schemeClr val="dk1"/>
              </a:solidFill>
              <a:latin typeface="Arial Narrow"/>
            </a:rPr>
            <a:t>– the Contractor’s solution will provide the described functionality in the system delivered to the City if  the Contractor’s solution is selected.</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1" strike="noStrike" spc="-1">
              <a:solidFill>
                <a:schemeClr val="dk1"/>
              </a:solidFill>
              <a:latin typeface="Arial Narrow"/>
            </a:rPr>
            <a:t>Function Not Available </a:t>
          </a:r>
          <a:r>
            <a:rPr lang="en-US" sz="1100" b="0" strike="noStrike" spc="-1">
              <a:solidFill>
                <a:schemeClr val="dk1"/>
              </a:solidFill>
              <a:latin typeface="Arial Narrow"/>
            </a:rPr>
            <a:t>– the Contractor’s current production system is not capable of performing the function as listed in the requirement and will not be delivered in a system if the Contractor’s solution is selected.</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1" strike="noStrike" spc="-1">
              <a:solidFill>
                <a:schemeClr val="dk1"/>
              </a:solidFill>
              <a:latin typeface="Arial Narrow"/>
            </a:rPr>
            <a:t>Exception</a:t>
          </a:r>
          <a:r>
            <a:rPr lang="en-US" sz="1100" b="0" strike="noStrike" spc="-1">
              <a:solidFill>
                <a:schemeClr val="dk1"/>
              </a:solidFill>
              <a:latin typeface="Arial Narrow"/>
            </a:rPr>
            <a:t> – the Contractor takes exception to the specification and must explain the reason for the exception and include that exception explanation in the Contractor's workspace.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chemeClr val="dk1"/>
              </a:solidFill>
              <a:latin typeface="Arial Narrow"/>
            </a:rPr>
            <a:t>Only those items marked as Function Available will be initially counted within the Workbook.  Not Answered, Function Not Available, and Exception will receive no counts.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chemeClr val="dk1"/>
              </a:solidFill>
              <a:latin typeface="Arial Narrow"/>
            </a:rPr>
            <a:t>Contractors are advised that any requirement marked as Function Available indicates that the system delivered to the City will be capable of performing the function as listed in the requirement.  Indicating Function Available is considered a contractually binding commitment by the Contractor to deliver on the required requirement if their solution is selected by the City and included in the executed contract.</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chemeClr val="dk1"/>
              </a:solidFill>
              <a:latin typeface="Arial Narrow"/>
            </a:rPr>
            <a:t>For some functionalities, a requirement may ask if a specific function is provided in one way, and then be followed by a requirement that asks if the same function is provided in a different, potentially conflicting, fashion.  This is intentional to determine how the Contractor provides that functionality when there are options.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chemeClr val="dk1"/>
              </a:solidFill>
              <a:latin typeface="Arial Narrow"/>
            </a:rPr>
            <a:t>Any exceptions taken to functional requirements must have explanations provided.  Contractors’ explanation of exceptions must be provided in the Contractor Work Area in each workbook.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chemeClr val="dk1"/>
              </a:solidFill>
              <a:latin typeface="Arial Narrow"/>
            </a:rPr>
            <a:t>Provide PDF and electronic Excel copies of the completed Exhibit as instructed in the RFP.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560520</xdr:colOff>
      <xdr:row>47</xdr:row>
      <xdr:rowOff>95400</xdr:rowOff>
    </xdr:from>
    <xdr:to>
      <xdr:col>1</xdr:col>
      <xdr:colOff>-4489560</xdr:colOff>
      <xdr:row>49</xdr:row>
      <xdr:rowOff>85680</xdr:rowOff>
    </xdr:to>
    <xdr:sp macro="" textlink="">
      <xdr:nvSpPr>
        <xdr:cNvPr id="2" name="Option Button 1">
          <a:extLst>
            <a:ext uri="{FF2B5EF4-FFF2-40B4-BE49-F238E27FC236}">
              <a16:creationId xmlns:a16="http://schemas.microsoft.com/office/drawing/2014/main" id="{00000000-0008-0000-3200-00000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 name="Option Button 2">
          <a:extLst>
            <a:ext uri="{FF2B5EF4-FFF2-40B4-BE49-F238E27FC236}">
              <a16:creationId xmlns:a16="http://schemas.microsoft.com/office/drawing/2014/main" id="{00000000-0008-0000-3200-00000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 name="Option Button 3">
          <a:extLst>
            <a:ext uri="{FF2B5EF4-FFF2-40B4-BE49-F238E27FC236}">
              <a16:creationId xmlns:a16="http://schemas.microsoft.com/office/drawing/2014/main" id="{00000000-0008-0000-3200-00000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 name="Option Button 4">
          <a:extLst>
            <a:ext uri="{FF2B5EF4-FFF2-40B4-BE49-F238E27FC236}">
              <a16:creationId xmlns:a16="http://schemas.microsoft.com/office/drawing/2014/main" id="{00000000-0008-0000-3200-00000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 name="Group Box 5" descr="Group Box 5">
          <a:extLst>
            <a:ext uri="{FF2B5EF4-FFF2-40B4-BE49-F238E27FC236}">
              <a16:creationId xmlns:a16="http://schemas.microsoft.com/office/drawing/2014/main" id="{00000000-0008-0000-3200-000006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xdr:row>
      <xdr:rowOff>28440</xdr:rowOff>
    </xdr:from>
    <xdr:to>
      <xdr:col>7</xdr:col>
      <xdr:colOff>-363960</xdr:colOff>
      <xdr:row>22</xdr:row>
      <xdr:rowOff>0</xdr:rowOff>
    </xdr:to>
    <xdr:sp macro="" textlink="">
      <xdr:nvSpPr>
        <xdr:cNvPr id="7" name="Option Button 6">
          <a:extLst>
            <a:ext uri="{FF2B5EF4-FFF2-40B4-BE49-F238E27FC236}">
              <a16:creationId xmlns:a16="http://schemas.microsoft.com/office/drawing/2014/main" id="{00000000-0008-0000-3200-00000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 name="Option Button 7">
          <a:extLst>
            <a:ext uri="{FF2B5EF4-FFF2-40B4-BE49-F238E27FC236}">
              <a16:creationId xmlns:a16="http://schemas.microsoft.com/office/drawing/2014/main" id="{00000000-0008-0000-3200-00000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 name="Option Button 8">
          <a:extLst>
            <a:ext uri="{FF2B5EF4-FFF2-40B4-BE49-F238E27FC236}">
              <a16:creationId xmlns:a16="http://schemas.microsoft.com/office/drawing/2014/main" id="{00000000-0008-0000-3200-00000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 name="Option Button 9">
          <a:extLst>
            <a:ext uri="{FF2B5EF4-FFF2-40B4-BE49-F238E27FC236}">
              <a16:creationId xmlns:a16="http://schemas.microsoft.com/office/drawing/2014/main" id="{00000000-0008-0000-3200-00000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 name="Group Box 10" descr="Group Box 5">
          <a:extLst>
            <a:ext uri="{FF2B5EF4-FFF2-40B4-BE49-F238E27FC236}">
              <a16:creationId xmlns:a16="http://schemas.microsoft.com/office/drawing/2014/main" id="{00000000-0008-0000-3200-00000B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xdr:row>
      <xdr:rowOff>28440</xdr:rowOff>
    </xdr:from>
    <xdr:to>
      <xdr:col>7</xdr:col>
      <xdr:colOff>-363960</xdr:colOff>
      <xdr:row>23</xdr:row>
      <xdr:rowOff>0</xdr:rowOff>
    </xdr:to>
    <xdr:sp macro="" textlink="">
      <xdr:nvSpPr>
        <xdr:cNvPr id="12" name="Option Button 11">
          <a:extLst>
            <a:ext uri="{FF2B5EF4-FFF2-40B4-BE49-F238E27FC236}">
              <a16:creationId xmlns:a16="http://schemas.microsoft.com/office/drawing/2014/main" id="{00000000-0008-0000-3200-00000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 name="Option Button 12">
          <a:extLst>
            <a:ext uri="{FF2B5EF4-FFF2-40B4-BE49-F238E27FC236}">
              <a16:creationId xmlns:a16="http://schemas.microsoft.com/office/drawing/2014/main" id="{00000000-0008-0000-3200-00000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 name="Option Button 13">
          <a:extLst>
            <a:ext uri="{FF2B5EF4-FFF2-40B4-BE49-F238E27FC236}">
              <a16:creationId xmlns:a16="http://schemas.microsoft.com/office/drawing/2014/main" id="{00000000-0008-0000-3200-00000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 name="Option Button 14">
          <a:extLst>
            <a:ext uri="{FF2B5EF4-FFF2-40B4-BE49-F238E27FC236}">
              <a16:creationId xmlns:a16="http://schemas.microsoft.com/office/drawing/2014/main" id="{00000000-0008-0000-3200-00000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 name="Group Box 15" descr="Group Box 5">
          <a:extLst>
            <a:ext uri="{FF2B5EF4-FFF2-40B4-BE49-F238E27FC236}">
              <a16:creationId xmlns:a16="http://schemas.microsoft.com/office/drawing/2014/main" id="{00000000-0008-0000-3200-000010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xdr:row>
      <xdr:rowOff>28440</xdr:rowOff>
    </xdr:from>
    <xdr:to>
      <xdr:col>7</xdr:col>
      <xdr:colOff>-363960</xdr:colOff>
      <xdr:row>24</xdr:row>
      <xdr:rowOff>0</xdr:rowOff>
    </xdr:to>
    <xdr:sp macro="" textlink="">
      <xdr:nvSpPr>
        <xdr:cNvPr id="17" name="Option Button 16">
          <a:extLst>
            <a:ext uri="{FF2B5EF4-FFF2-40B4-BE49-F238E27FC236}">
              <a16:creationId xmlns:a16="http://schemas.microsoft.com/office/drawing/2014/main" id="{00000000-0008-0000-3200-00001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 name="Option Button 17">
          <a:extLst>
            <a:ext uri="{FF2B5EF4-FFF2-40B4-BE49-F238E27FC236}">
              <a16:creationId xmlns:a16="http://schemas.microsoft.com/office/drawing/2014/main" id="{00000000-0008-0000-3200-00001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 name="Option Button 18">
          <a:extLst>
            <a:ext uri="{FF2B5EF4-FFF2-40B4-BE49-F238E27FC236}">
              <a16:creationId xmlns:a16="http://schemas.microsoft.com/office/drawing/2014/main" id="{00000000-0008-0000-3200-00001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 name="Option Button 19">
          <a:extLst>
            <a:ext uri="{FF2B5EF4-FFF2-40B4-BE49-F238E27FC236}">
              <a16:creationId xmlns:a16="http://schemas.microsoft.com/office/drawing/2014/main" id="{00000000-0008-0000-3200-00001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 name="Group Box 20" descr="Group Box 5">
          <a:extLst>
            <a:ext uri="{FF2B5EF4-FFF2-40B4-BE49-F238E27FC236}">
              <a16:creationId xmlns:a16="http://schemas.microsoft.com/office/drawing/2014/main" id="{00000000-0008-0000-3200-000015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xdr:row>
      <xdr:rowOff>28440</xdr:rowOff>
    </xdr:from>
    <xdr:to>
      <xdr:col>7</xdr:col>
      <xdr:colOff>-363960</xdr:colOff>
      <xdr:row>25</xdr:row>
      <xdr:rowOff>0</xdr:rowOff>
    </xdr:to>
    <xdr:sp macro="" textlink="">
      <xdr:nvSpPr>
        <xdr:cNvPr id="22" name="Option Button 21">
          <a:extLst>
            <a:ext uri="{FF2B5EF4-FFF2-40B4-BE49-F238E27FC236}">
              <a16:creationId xmlns:a16="http://schemas.microsoft.com/office/drawing/2014/main" id="{00000000-0008-0000-3200-00001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 name="Option Button 22">
          <a:extLst>
            <a:ext uri="{FF2B5EF4-FFF2-40B4-BE49-F238E27FC236}">
              <a16:creationId xmlns:a16="http://schemas.microsoft.com/office/drawing/2014/main" id="{00000000-0008-0000-3200-00001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 name="Option Button 23">
          <a:extLst>
            <a:ext uri="{FF2B5EF4-FFF2-40B4-BE49-F238E27FC236}">
              <a16:creationId xmlns:a16="http://schemas.microsoft.com/office/drawing/2014/main" id="{00000000-0008-0000-3200-00001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 name="Option Button 24">
          <a:extLst>
            <a:ext uri="{FF2B5EF4-FFF2-40B4-BE49-F238E27FC236}">
              <a16:creationId xmlns:a16="http://schemas.microsoft.com/office/drawing/2014/main" id="{00000000-0008-0000-3200-00001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 name="Group Box 25" descr="Group Box 5">
          <a:extLst>
            <a:ext uri="{FF2B5EF4-FFF2-40B4-BE49-F238E27FC236}">
              <a16:creationId xmlns:a16="http://schemas.microsoft.com/office/drawing/2014/main" id="{00000000-0008-0000-3200-00001A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xdr:row>
      <xdr:rowOff>28440</xdr:rowOff>
    </xdr:from>
    <xdr:to>
      <xdr:col>7</xdr:col>
      <xdr:colOff>-363960</xdr:colOff>
      <xdr:row>26</xdr:row>
      <xdr:rowOff>0</xdr:rowOff>
    </xdr:to>
    <xdr:sp macro="" textlink="">
      <xdr:nvSpPr>
        <xdr:cNvPr id="27" name="Option Button 26">
          <a:extLst>
            <a:ext uri="{FF2B5EF4-FFF2-40B4-BE49-F238E27FC236}">
              <a16:creationId xmlns:a16="http://schemas.microsoft.com/office/drawing/2014/main" id="{00000000-0008-0000-3200-00001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 name="Option Button 27">
          <a:extLst>
            <a:ext uri="{FF2B5EF4-FFF2-40B4-BE49-F238E27FC236}">
              <a16:creationId xmlns:a16="http://schemas.microsoft.com/office/drawing/2014/main" id="{00000000-0008-0000-3200-00001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 name="Option Button 28">
          <a:extLst>
            <a:ext uri="{FF2B5EF4-FFF2-40B4-BE49-F238E27FC236}">
              <a16:creationId xmlns:a16="http://schemas.microsoft.com/office/drawing/2014/main" id="{00000000-0008-0000-3200-00001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 name="Option Button 29">
          <a:extLst>
            <a:ext uri="{FF2B5EF4-FFF2-40B4-BE49-F238E27FC236}">
              <a16:creationId xmlns:a16="http://schemas.microsoft.com/office/drawing/2014/main" id="{00000000-0008-0000-3200-00001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 name="Group Box 30" descr="Group Box 5">
          <a:extLst>
            <a:ext uri="{FF2B5EF4-FFF2-40B4-BE49-F238E27FC236}">
              <a16:creationId xmlns:a16="http://schemas.microsoft.com/office/drawing/2014/main" id="{00000000-0008-0000-3200-00001F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xdr:row>
      <xdr:rowOff>28440</xdr:rowOff>
    </xdr:from>
    <xdr:to>
      <xdr:col>7</xdr:col>
      <xdr:colOff>-363960</xdr:colOff>
      <xdr:row>27</xdr:row>
      <xdr:rowOff>0</xdr:rowOff>
    </xdr:to>
    <xdr:sp macro="" textlink="">
      <xdr:nvSpPr>
        <xdr:cNvPr id="32" name="Option Button 31">
          <a:extLst>
            <a:ext uri="{FF2B5EF4-FFF2-40B4-BE49-F238E27FC236}">
              <a16:creationId xmlns:a16="http://schemas.microsoft.com/office/drawing/2014/main" id="{00000000-0008-0000-3200-00002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 name="Option Button 32">
          <a:extLst>
            <a:ext uri="{FF2B5EF4-FFF2-40B4-BE49-F238E27FC236}">
              <a16:creationId xmlns:a16="http://schemas.microsoft.com/office/drawing/2014/main" id="{00000000-0008-0000-3200-00002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 name="Option Button 33">
          <a:extLst>
            <a:ext uri="{FF2B5EF4-FFF2-40B4-BE49-F238E27FC236}">
              <a16:creationId xmlns:a16="http://schemas.microsoft.com/office/drawing/2014/main" id="{00000000-0008-0000-3200-00002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 name="Option Button 34">
          <a:extLst>
            <a:ext uri="{FF2B5EF4-FFF2-40B4-BE49-F238E27FC236}">
              <a16:creationId xmlns:a16="http://schemas.microsoft.com/office/drawing/2014/main" id="{00000000-0008-0000-3200-00002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 name="Group Box 35" descr="Group Box 5">
          <a:extLst>
            <a:ext uri="{FF2B5EF4-FFF2-40B4-BE49-F238E27FC236}">
              <a16:creationId xmlns:a16="http://schemas.microsoft.com/office/drawing/2014/main" id="{00000000-0008-0000-3200-000024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xdr:row>
      <xdr:rowOff>28440</xdr:rowOff>
    </xdr:from>
    <xdr:to>
      <xdr:col>7</xdr:col>
      <xdr:colOff>-363960</xdr:colOff>
      <xdr:row>28</xdr:row>
      <xdr:rowOff>0</xdr:rowOff>
    </xdr:to>
    <xdr:sp macro="" textlink="">
      <xdr:nvSpPr>
        <xdr:cNvPr id="37" name="Option Button 36">
          <a:extLst>
            <a:ext uri="{FF2B5EF4-FFF2-40B4-BE49-F238E27FC236}">
              <a16:creationId xmlns:a16="http://schemas.microsoft.com/office/drawing/2014/main" id="{00000000-0008-0000-3200-00002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 name="Option Button 37">
          <a:extLst>
            <a:ext uri="{FF2B5EF4-FFF2-40B4-BE49-F238E27FC236}">
              <a16:creationId xmlns:a16="http://schemas.microsoft.com/office/drawing/2014/main" id="{00000000-0008-0000-3200-00002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 name="Option Button 38">
          <a:extLst>
            <a:ext uri="{FF2B5EF4-FFF2-40B4-BE49-F238E27FC236}">
              <a16:creationId xmlns:a16="http://schemas.microsoft.com/office/drawing/2014/main" id="{00000000-0008-0000-3200-00002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 name="Option Button 39">
          <a:extLst>
            <a:ext uri="{FF2B5EF4-FFF2-40B4-BE49-F238E27FC236}">
              <a16:creationId xmlns:a16="http://schemas.microsoft.com/office/drawing/2014/main" id="{00000000-0008-0000-3200-00002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 name="Group Box 40" descr="Group Box 5">
          <a:extLst>
            <a:ext uri="{FF2B5EF4-FFF2-40B4-BE49-F238E27FC236}">
              <a16:creationId xmlns:a16="http://schemas.microsoft.com/office/drawing/2014/main" id="{00000000-0008-0000-3200-000029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xdr:row>
      <xdr:rowOff>28440</xdr:rowOff>
    </xdr:from>
    <xdr:to>
      <xdr:col>7</xdr:col>
      <xdr:colOff>-363960</xdr:colOff>
      <xdr:row>29</xdr:row>
      <xdr:rowOff>0</xdr:rowOff>
    </xdr:to>
    <xdr:sp macro="" textlink="">
      <xdr:nvSpPr>
        <xdr:cNvPr id="42" name="Option Button 41">
          <a:extLst>
            <a:ext uri="{FF2B5EF4-FFF2-40B4-BE49-F238E27FC236}">
              <a16:creationId xmlns:a16="http://schemas.microsoft.com/office/drawing/2014/main" id="{00000000-0008-0000-3200-00002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 name="Option Button 42">
          <a:extLst>
            <a:ext uri="{FF2B5EF4-FFF2-40B4-BE49-F238E27FC236}">
              <a16:creationId xmlns:a16="http://schemas.microsoft.com/office/drawing/2014/main" id="{00000000-0008-0000-3200-00002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 name="Option Button 43">
          <a:extLst>
            <a:ext uri="{FF2B5EF4-FFF2-40B4-BE49-F238E27FC236}">
              <a16:creationId xmlns:a16="http://schemas.microsoft.com/office/drawing/2014/main" id="{00000000-0008-0000-3200-00002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 name="Option Button 44">
          <a:extLst>
            <a:ext uri="{FF2B5EF4-FFF2-40B4-BE49-F238E27FC236}">
              <a16:creationId xmlns:a16="http://schemas.microsoft.com/office/drawing/2014/main" id="{00000000-0008-0000-3200-00002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 name="Group Box 45" descr="Group Box 5">
          <a:extLst>
            <a:ext uri="{FF2B5EF4-FFF2-40B4-BE49-F238E27FC236}">
              <a16:creationId xmlns:a16="http://schemas.microsoft.com/office/drawing/2014/main" id="{00000000-0008-0000-3200-00002E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xdr:row>
      <xdr:rowOff>28440</xdr:rowOff>
    </xdr:from>
    <xdr:to>
      <xdr:col>7</xdr:col>
      <xdr:colOff>-363960</xdr:colOff>
      <xdr:row>30</xdr:row>
      <xdr:rowOff>0</xdr:rowOff>
    </xdr:to>
    <xdr:sp macro="" textlink="">
      <xdr:nvSpPr>
        <xdr:cNvPr id="47" name="Option Button 46">
          <a:extLst>
            <a:ext uri="{FF2B5EF4-FFF2-40B4-BE49-F238E27FC236}">
              <a16:creationId xmlns:a16="http://schemas.microsoft.com/office/drawing/2014/main" id="{00000000-0008-0000-3200-00002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 name="Option Button 47">
          <a:extLst>
            <a:ext uri="{FF2B5EF4-FFF2-40B4-BE49-F238E27FC236}">
              <a16:creationId xmlns:a16="http://schemas.microsoft.com/office/drawing/2014/main" id="{00000000-0008-0000-3200-00003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 name="Option Button 48">
          <a:extLst>
            <a:ext uri="{FF2B5EF4-FFF2-40B4-BE49-F238E27FC236}">
              <a16:creationId xmlns:a16="http://schemas.microsoft.com/office/drawing/2014/main" id="{00000000-0008-0000-3200-00003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 name="Option Button 49">
          <a:extLst>
            <a:ext uri="{FF2B5EF4-FFF2-40B4-BE49-F238E27FC236}">
              <a16:creationId xmlns:a16="http://schemas.microsoft.com/office/drawing/2014/main" id="{00000000-0008-0000-3200-00003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 name="Group Box 50" descr="Group Box 5">
          <a:extLst>
            <a:ext uri="{FF2B5EF4-FFF2-40B4-BE49-F238E27FC236}">
              <a16:creationId xmlns:a16="http://schemas.microsoft.com/office/drawing/2014/main" id="{00000000-0008-0000-3200-000033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xdr:row>
      <xdr:rowOff>28440</xdr:rowOff>
    </xdr:from>
    <xdr:to>
      <xdr:col>7</xdr:col>
      <xdr:colOff>-363960</xdr:colOff>
      <xdr:row>31</xdr:row>
      <xdr:rowOff>0</xdr:rowOff>
    </xdr:to>
    <xdr:sp macro="" textlink="">
      <xdr:nvSpPr>
        <xdr:cNvPr id="52" name="Option Button 51">
          <a:extLst>
            <a:ext uri="{FF2B5EF4-FFF2-40B4-BE49-F238E27FC236}">
              <a16:creationId xmlns:a16="http://schemas.microsoft.com/office/drawing/2014/main" id="{00000000-0008-0000-3200-00003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 name="Option Button 52">
          <a:extLst>
            <a:ext uri="{FF2B5EF4-FFF2-40B4-BE49-F238E27FC236}">
              <a16:creationId xmlns:a16="http://schemas.microsoft.com/office/drawing/2014/main" id="{00000000-0008-0000-3200-00003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 name="Option Button 53">
          <a:extLst>
            <a:ext uri="{FF2B5EF4-FFF2-40B4-BE49-F238E27FC236}">
              <a16:creationId xmlns:a16="http://schemas.microsoft.com/office/drawing/2014/main" id="{00000000-0008-0000-3200-00003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 name="Option Button 54">
          <a:extLst>
            <a:ext uri="{FF2B5EF4-FFF2-40B4-BE49-F238E27FC236}">
              <a16:creationId xmlns:a16="http://schemas.microsoft.com/office/drawing/2014/main" id="{00000000-0008-0000-3200-00003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 name="Group Box 55" descr="Group Box 5">
          <a:extLst>
            <a:ext uri="{FF2B5EF4-FFF2-40B4-BE49-F238E27FC236}">
              <a16:creationId xmlns:a16="http://schemas.microsoft.com/office/drawing/2014/main" id="{00000000-0008-0000-3200-000038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xdr:row>
      <xdr:rowOff>28440</xdr:rowOff>
    </xdr:from>
    <xdr:to>
      <xdr:col>7</xdr:col>
      <xdr:colOff>-363960</xdr:colOff>
      <xdr:row>32</xdr:row>
      <xdr:rowOff>0</xdr:rowOff>
    </xdr:to>
    <xdr:sp macro="" textlink="">
      <xdr:nvSpPr>
        <xdr:cNvPr id="57" name="Option Button 56">
          <a:extLst>
            <a:ext uri="{FF2B5EF4-FFF2-40B4-BE49-F238E27FC236}">
              <a16:creationId xmlns:a16="http://schemas.microsoft.com/office/drawing/2014/main" id="{00000000-0008-0000-3200-00003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 name="Option Button 57">
          <a:extLst>
            <a:ext uri="{FF2B5EF4-FFF2-40B4-BE49-F238E27FC236}">
              <a16:creationId xmlns:a16="http://schemas.microsoft.com/office/drawing/2014/main" id="{00000000-0008-0000-3200-00003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 name="Option Button 58">
          <a:extLst>
            <a:ext uri="{FF2B5EF4-FFF2-40B4-BE49-F238E27FC236}">
              <a16:creationId xmlns:a16="http://schemas.microsoft.com/office/drawing/2014/main" id="{00000000-0008-0000-3200-00003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 name="Option Button 59">
          <a:extLst>
            <a:ext uri="{FF2B5EF4-FFF2-40B4-BE49-F238E27FC236}">
              <a16:creationId xmlns:a16="http://schemas.microsoft.com/office/drawing/2014/main" id="{00000000-0008-0000-3200-00003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 name="Group Box 60" descr="Group Box 5">
          <a:extLst>
            <a:ext uri="{FF2B5EF4-FFF2-40B4-BE49-F238E27FC236}">
              <a16:creationId xmlns:a16="http://schemas.microsoft.com/office/drawing/2014/main" id="{00000000-0008-0000-3200-00003D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xdr:row>
      <xdr:rowOff>28440</xdr:rowOff>
    </xdr:from>
    <xdr:to>
      <xdr:col>7</xdr:col>
      <xdr:colOff>-363960</xdr:colOff>
      <xdr:row>33</xdr:row>
      <xdr:rowOff>0</xdr:rowOff>
    </xdr:to>
    <xdr:sp macro="" textlink="">
      <xdr:nvSpPr>
        <xdr:cNvPr id="62" name="Option Button 61">
          <a:extLst>
            <a:ext uri="{FF2B5EF4-FFF2-40B4-BE49-F238E27FC236}">
              <a16:creationId xmlns:a16="http://schemas.microsoft.com/office/drawing/2014/main" id="{00000000-0008-0000-3200-00003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 name="Option Button 62">
          <a:extLst>
            <a:ext uri="{FF2B5EF4-FFF2-40B4-BE49-F238E27FC236}">
              <a16:creationId xmlns:a16="http://schemas.microsoft.com/office/drawing/2014/main" id="{00000000-0008-0000-3200-00003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 name="Option Button 63">
          <a:extLst>
            <a:ext uri="{FF2B5EF4-FFF2-40B4-BE49-F238E27FC236}">
              <a16:creationId xmlns:a16="http://schemas.microsoft.com/office/drawing/2014/main" id="{00000000-0008-0000-3200-00004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 name="Option Button 64">
          <a:extLst>
            <a:ext uri="{FF2B5EF4-FFF2-40B4-BE49-F238E27FC236}">
              <a16:creationId xmlns:a16="http://schemas.microsoft.com/office/drawing/2014/main" id="{00000000-0008-0000-3200-00004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 name="Group Box 65" descr="Group Box 5">
          <a:extLst>
            <a:ext uri="{FF2B5EF4-FFF2-40B4-BE49-F238E27FC236}">
              <a16:creationId xmlns:a16="http://schemas.microsoft.com/office/drawing/2014/main" id="{00000000-0008-0000-3200-000042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xdr:row>
      <xdr:rowOff>28440</xdr:rowOff>
    </xdr:from>
    <xdr:to>
      <xdr:col>7</xdr:col>
      <xdr:colOff>-363960</xdr:colOff>
      <xdr:row>34</xdr:row>
      <xdr:rowOff>0</xdr:rowOff>
    </xdr:to>
    <xdr:sp macro="" textlink="">
      <xdr:nvSpPr>
        <xdr:cNvPr id="67" name="Option Button 66">
          <a:extLst>
            <a:ext uri="{FF2B5EF4-FFF2-40B4-BE49-F238E27FC236}">
              <a16:creationId xmlns:a16="http://schemas.microsoft.com/office/drawing/2014/main" id="{00000000-0008-0000-3200-00004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 name="Option Button 67">
          <a:extLst>
            <a:ext uri="{FF2B5EF4-FFF2-40B4-BE49-F238E27FC236}">
              <a16:creationId xmlns:a16="http://schemas.microsoft.com/office/drawing/2014/main" id="{00000000-0008-0000-3200-00004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 name="Option Button 68">
          <a:extLst>
            <a:ext uri="{FF2B5EF4-FFF2-40B4-BE49-F238E27FC236}">
              <a16:creationId xmlns:a16="http://schemas.microsoft.com/office/drawing/2014/main" id="{00000000-0008-0000-3200-00004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 name="Option Button 69">
          <a:extLst>
            <a:ext uri="{FF2B5EF4-FFF2-40B4-BE49-F238E27FC236}">
              <a16:creationId xmlns:a16="http://schemas.microsoft.com/office/drawing/2014/main" id="{00000000-0008-0000-3200-00004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 name="Group Box 70" descr="Group Box 5">
          <a:extLst>
            <a:ext uri="{FF2B5EF4-FFF2-40B4-BE49-F238E27FC236}">
              <a16:creationId xmlns:a16="http://schemas.microsoft.com/office/drawing/2014/main" id="{00000000-0008-0000-3200-000047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xdr:row>
      <xdr:rowOff>28440</xdr:rowOff>
    </xdr:from>
    <xdr:to>
      <xdr:col>7</xdr:col>
      <xdr:colOff>-363960</xdr:colOff>
      <xdr:row>35</xdr:row>
      <xdr:rowOff>0</xdr:rowOff>
    </xdr:to>
    <xdr:sp macro="" textlink="">
      <xdr:nvSpPr>
        <xdr:cNvPr id="72" name="Option Button 71">
          <a:extLst>
            <a:ext uri="{FF2B5EF4-FFF2-40B4-BE49-F238E27FC236}">
              <a16:creationId xmlns:a16="http://schemas.microsoft.com/office/drawing/2014/main" id="{00000000-0008-0000-3200-00004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 name="Option Button 72">
          <a:extLst>
            <a:ext uri="{FF2B5EF4-FFF2-40B4-BE49-F238E27FC236}">
              <a16:creationId xmlns:a16="http://schemas.microsoft.com/office/drawing/2014/main" id="{00000000-0008-0000-3200-00004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 name="Option Button 73">
          <a:extLst>
            <a:ext uri="{FF2B5EF4-FFF2-40B4-BE49-F238E27FC236}">
              <a16:creationId xmlns:a16="http://schemas.microsoft.com/office/drawing/2014/main" id="{00000000-0008-0000-3200-00004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 name="Option Button 74">
          <a:extLst>
            <a:ext uri="{FF2B5EF4-FFF2-40B4-BE49-F238E27FC236}">
              <a16:creationId xmlns:a16="http://schemas.microsoft.com/office/drawing/2014/main" id="{00000000-0008-0000-3200-00004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 name="Group Box 75" descr="Group Box 5">
          <a:extLst>
            <a:ext uri="{FF2B5EF4-FFF2-40B4-BE49-F238E27FC236}">
              <a16:creationId xmlns:a16="http://schemas.microsoft.com/office/drawing/2014/main" id="{00000000-0008-0000-3200-00004C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xdr:row>
      <xdr:rowOff>28440</xdr:rowOff>
    </xdr:from>
    <xdr:to>
      <xdr:col>7</xdr:col>
      <xdr:colOff>-363960</xdr:colOff>
      <xdr:row>36</xdr:row>
      <xdr:rowOff>0</xdr:rowOff>
    </xdr:to>
    <xdr:sp macro="" textlink="">
      <xdr:nvSpPr>
        <xdr:cNvPr id="77" name="Option Button 76">
          <a:extLst>
            <a:ext uri="{FF2B5EF4-FFF2-40B4-BE49-F238E27FC236}">
              <a16:creationId xmlns:a16="http://schemas.microsoft.com/office/drawing/2014/main" id="{00000000-0008-0000-3200-00004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 name="Option Button 77">
          <a:extLst>
            <a:ext uri="{FF2B5EF4-FFF2-40B4-BE49-F238E27FC236}">
              <a16:creationId xmlns:a16="http://schemas.microsoft.com/office/drawing/2014/main" id="{00000000-0008-0000-3200-00004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 name="Option Button 78">
          <a:extLst>
            <a:ext uri="{FF2B5EF4-FFF2-40B4-BE49-F238E27FC236}">
              <a16:creationId xmlns:a16="http://schemas.microsoft.com/office/drawing/2014/main" id="{00000000-0008-0000-3200-00004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 name="Option Button 79">
          <a:extLst>
            <a:ext uri="{FF2B5EF4-FFF2-40B4-BE49-F238E27FC236}">
              <a16:creationId xmlns:a16="http://schemas.microsoft.com/office/drawing/2014/main" id="{00000000-0008-0000-3200-00005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 name="Group Box 80" descr="Group Box 5">
          <a:extLst>
            <a:ext uri="{FF2B5EF4-FFF2-40B4-BE49-F238E27FC236}">
              <a16:creationId xmlns:a16="http://schemas.microsoft.com/office/drawing/2014/main" id="{00000000-0008-0000-3200-000051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xdr:row>
      <xdr:rowOff>28440</xdr:rowOff>
    </xdr:from>
    <xdr:to>
      <xdr:col>7</xdr:col>
      <xdr:colOff>-363960</xdr:colOff>
      <xdr:row>37</xdr:row>
      <xdr:rowOff>0</xdr:rowOff>
    </xdr:to>
    <xdr:sp macro="" textlink="">
      <xdr:nvSpPr>
        <xdr:cNvPr id="82" name="Option Button 81">
          <a:extLst>
            <a:ext uri="{FF2B5EF4-FFF2-40B4-BE49-F238E27FC236}">
              <a16:creationId xmlns:a16="http://schemas.microsoft.com/office/drawing/2014/main" id="{00000000-0008-0000-3200-00005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 name="Option Button 82">
          <a:extLst>
            <a:ext uri="{FF2B5EF4-FFF2-40B4-BE49-F238E27FC236}">
              <a16:creationId xmlns:a16="http://schemas.microsoft.com/office/drawing/2014/main" id="{00000000-0008-0000-3200-00005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 name="Option Button 83">
          <a:extLst>
            <a:ext uri="{FF2B5EF4-FFF2-40B4-BE49-F238E27FC236}">
              <a16:creationId xmlns:a16="http://schemas.microsoft.com/office/drawing/2014/main" id="{00000000-0008-0000-3200-00005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 name="Option Button 84">
          <a:extLst>
            <a:ext uri="{FF2B5EF4-FFF2-40B4-BE49-F238E27FC236}">
              <a16:creationId xmlns:a16="http://schemas.microsoft.com/office/drawing/2014/main" id="{00000000-0008-0000-3200-00005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 name="Group Box 85" descr="Group Box 5">
          <a:extLst>
            <a:ext uri="{FF2B5EF4-FFF2-40B4-BE49-F238E27FC236}">
              <a16:creationId xmlns:a16="http://schemas.microsoft.com/office/drawing/2014/main" id="{00000000-0008-0000-3200-000056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xdr:row>
      <xdr:rowOff>28440</xdr:rowOff>
    </xdr:from>
    <xdr:to>
      <xdr:col>7</xdr:col>
      <xdr:colOff>-363960</xdr:colOff>
      <xdr:row>38</xdr:row>
      <xdr:rowOff>0</xdr:rowOff>
    </xdr:to>
    <xdr:sp macro="" textlink="">
      <xdr:nvSpPr>
        <xdr:cNvPr id="87" name="Option Button 86">
          <a:extLst>
            <a:ext uri="{FF2B5EF4-FFF2-40B4-BE49-F238E27FC236}">
              <a16:creationId xmlns:a16="http://schemas.microsoft.com/office/drawing/2014/main" id="{00000000-0008-0000-3200-00005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 name="Option Button 87">
          <a:extLst>
            <a:ext uri="{FF2B5EF4-FFF2-40B4-BE49-F238E27FC236}">
              <a16:creationId xmlns:a16="http://schemas.microsoft.com/office/drawing/2014/main" id="{00000000-0008-0000-3200-00005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 name="Option Button 88">
          <a:extLst>
            <a:ext uri="{FF2B5EF4-FFF2-40B4-BE49-F238E27FC236}">
              <a16:creationId xmlns:a16="http://schemas.microsoft.com/office/drawing/2014/main" id="{00000000-0008-0000-3200-00005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 name="Option Button 89">
          <a:extLst>
            <a:ext uri="{FF2B5EF4-FFF2-40B4-BE49-F238E27FC236}">
              <a16:creationId xmlns:a16="http://schemas.microsoft.com/office/drawing/2014/main" id="{00000000-0008-0000-3200-00005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 name="Group Box 90" descr="Group Box 5">
          <a:extLst>
            <a:ext uri="{FF2B5EF4-FFF2-40B4-BE49-F238E27FC236}">
              <a16:creationId xmlns:a16="http://schemas.microsoft.com/office/drawing/2014/main" id="{00000000-0008-0000-3200-00005B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xdr:row>
      <xdr:rowOff>28440</xdr:rowOff>
    </xdr:from>
    <xdr:to>
      <xdr:col>7</xdr:col>
      <xdr:colOff>-363960</xdr:colOff>
      <xdr:row>39</xdr:row>
      <xdr:rowOff>0</xdr:rowOff>
    </xdr:to>
    <xdr:sp macro="" textlink="">
      <xdr:nvSpPr>
        <xdr:cNvPr id="92" name="Option Button 91">
          <a:extLst>
            <a:ext uri="{FF2B5EF4-FFF2-40B4-BE49-F238E27FC236}">
              <a16:creationId xmlns:a16="http://schemas.microsoft.com/office/drawing/2014/main" id="{00000000-0008-0000-3200-00005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 name="Option Button 92">
          <a:extLst>
            <a:ext uri="{FF2B5EF4-FFF2-40B4-BE49-F238E27FC236}">
              <a16:creationId xmlns:a16="http://schemas.microsoft.com/office/drawing/2014/main" id="{00000000-0008-0000-3200-00005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 name="Option Button 93">
          <a:extLst>
            <a:ext uri="{FF2B5EF4-FFF2-40B4-BE49-F238E27FC236}">
              <a16:creationId xmlns:a16="http://schemas.microsoft.com/office/drawing/2014/main" id="{00000000-0008-0000-3200-00005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 name="Option Button 94">
          <a:extLst>
            <a:ext uri="{FF2B5EF4-FFF2-40B4-BE49-F238E27FC236}">
              <a16:creationId xmlns:a16="http://schemas.microsoft.com/office/drawing/2014/main" id="{00000000-0008-0000-3200-00005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 name="Group Box 95" descr="Group Box 5">
          <a:extLst>
            <a:ext uri="{FF2B5EF4-FFF2-40B4-BE49-F238E27FC236}">
              <a16:creationId xmlns:a16="http://schemas.microsoft.com/office/drawing/2014/main" id="{00000000-0008-0000-3200-000060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xdr:row>
      <xdr:rowOff>28440</xdr:rowOff>
    </xdr:from>
    <xdr:to>
      <xdr:col>7</xdr:col>
      <xdr:colOff>-363960</xdr:colOff>
      <xdr:row>40</xdr:row>
      <xdr:rowOff>0</xdr:rowOff>
    </xdr:to>
    <xdr:sp macro="" textlink="">
      <xdr:nvSpPr>
        <xdr:cNvPr id="97" name="Option Button 96">
          <a:extLst>
            <a:ext uri="{FF2B5EF4-FFF2-40B4-BE49-F238E27FC236}">
              <a16:creationId xmlns:a16="http://schemas.microsoft.com/office/drawing/2014/main" id="{00000000-0008-0000-3200-00006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 name="Option Button 97">
          <a:extLst>
            <a:ext uri="{FF2B5EF4-FFF2-40B4-BE49-F238E27FC236}">
              <a16:creationId xmlns:a16="http://schemas.microsoft.com/office/drawing/2014/main" id="{00000000-0008-0000-3200-00006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 name="Option Button 98">
          <a:extLst>
            <a:ext uri="{FF2B5EF4-FFF2-40B4-BE49-F238E27FC236}">
              <a16:creationId xmlns:a16="http://schemas.microsoft.com/office/drawing/2014/main" id="{00000000-0008-0000-3200-00006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 name="Option Button 99">
          <a:extLst>
            <a:ext uri="{FF2B5EF4-FFF2-40B4-BE49-F238E27FC236}">
              <a16:creationId xmlns:a16="http://schemas.microsoft.com/office/drawing/2014/main" id="{00000000-0008-0000-3200-00006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 name="Group Box 100" descr="Group Box 5">
          <a:extLst>
            <a:ext uri="{FF2B5EF4-FFF2-40B4-BE49-F238E27FC236}">
              <a16:creationId xmlns:a16="http://schemas.microsoft.com/office/drawing/2014/main" id="{00000000-0008-0000-3200-000065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xdr:row>
      <xdr:rowOff>28440</xdr:rowOff>
    </xdr:from>
    <xdr:to>
      <xdr:col>7</xdr:col>
      <xdr:colOff>-363960</xdr:colOff>
      <xdr:row>41</xdr:row>
      <xdr:rowOff>0</xdr:rowOff>
    </xdr:to>
    <xdr:sp macro="" textlink="">
      <xdr:nvSpPr>
        <xdr:cNvPr id="102" name="Option Button 101">
          <a:extLst>
            <a:ext uri="{FF2B5EF4-FFF2-40B4-BE49-F238E27FC236}">
              <a16:creationId xmlns:a16="http://schemas.microsoft.com/office/drawing/2014/main" id="{00000000-0008-0000-3200-00006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 name="Option Button 102">
          <a:extLst>
            <a:ext uri="{FF2B5EF4-FFF2-40B4-BE49-F238E27FC236}">
              <a16:creationId xmlns:a16="http://schemas.microsoft.com/office/drawing/2014/main" id="{00000000-0008-0000-3200-00006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 name="Option Button 103">
          <a:extLst>
            <a:ext uri="{FF2B5EF4-FFF2-40B4-BE49-F238E27FC236}">
              <a16:creationId xmlns:a16="http://schemas.microsoft.com/office/drawing/2014/main" id="{00000000-0008-0000-3200-00006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 name="Option Button 104">
          <a:extLst>
            <a:ext uri="{FF2B5EF4-FFF2-40B4-BE49-F238E27FC236}">
              <a16:creationId xmlns:a16="http://schemas.microsoft.com/office/drawing/2014/main" id="{00000000-0008-0000-3200-00006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 name="Group Box 105" descr="Group Box 5">
          <a:extLst>
            <a:ext uri="{FF2B5EF4-FFF2-40B4-BE49-F238E27FC236}">
              <a16:creationId xmlns:a16="http://schemas.microsoft.com/office/drawing/2014/main" id="{00000000-0008-0000-3200-00006A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xdr:row>
      <xdr:rowOff>28440</xdr:rowOff>
    </xdr:from>
    <xdr:to>
      <xdr:col>7</xdr:col>
      <xdr:colOff>-363960</xdr:colOff>
      <xdr:row>42</xdr:row>
      <xdr:rowOff>0</xdr:rowOff>
    </xdr:to>
    <xdr:sp macro="" textlink="">
      <xdr:nvSpPr>
        <xdr:cNvPr id="107" name="Option Button 106">
          <a:extLst>
            <a:ext uri="{FF2B5EF4-FFF2-40B4-BE49-F238E27FC236}">
              <a16:creationId xmlns:a16="http://schemas.microsoft.com/office/drawing/2014/main" id="{00000000-0008-0000-3200-00006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 name="Option Button 107">
          <a:extLst>
            <a:ext uri="{FF2B5EF4-FFF2-40B4-BE49-F238E27FC236}">
              <a16:creationId xmlns:a16="http://schemas.microsoft.com/office/drawing/2014/main" id="{00000000-0008-0000-3200-00006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 name="Option Button 108">
          <a:extLst>
            <a:ext uri="{FF2B5EF4-FFF2-40B4-BE49-F238E27FC236}">
              <a16:creationId xmlns:a16="http://schemas.microsoft.com/office/drawing/2014/main" id="{00000000-0008-0000-3200-00006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 name="Option Button 109">
          <a:extLst>
            <a:ext uri="{FF2B5EF4-FFF2-40B4-BE49-F238E27FC236}">
              <a16:creationId xmlns:a16="http://schemas.microsoft.com/office/drawing/2014/main" id="{00000000-0008-0000-3200-00006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 name="Group Box 110" descr="Group Box 5">
          <a:extLst>
            <a:ext uri="{FF2B5EF4-FFF2-40B4-BE49-F238E27FC236}">
              <a16:creationId xmlns:a16="http://schemas.microsoft.com/office/drawing/2014/main" id="{00000000-0008-0000-3200-00006F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xdr:row>
      <xdr:rowOff>28440</xdr:rowOff>
    </xdr:from>
    <xdr:to>
      <xdr:col>7</xdr:col>
      <xdr:colOff>-363960</xdr:colOff>
      <xdr:row>43</xdr:row>
      <xdr:rowOff>0</xdr:rowOff>
    </xdr:to>
    <xdr:sp macro="" textlink="">
      <xdr:nvSpPr>
        <xdr:cNvPr id="112" name="Option Button 111">
          <a:extLst>
            <a:ext uri="{FF2B5EF4-FFF2-40B4-BE49-F238E27FC236}">
              <a16:creationId xmlns:a16="http://schemas.microsoft.com/office/drawing/2014/main" id="{00000000-0008-0000-3200-00007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 name="Option Button 112">
          <a:extLst>
            <a:ext uri="{FF2B5EF4-FFF2-40B4-BE49-F238E27FC236}">
              <a16:creationId xmlns:a16="http://schemas.microsoft.com/office/drawing/2014/main" id="{00000000-0008-0000-3200-00007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 name="Option Button 113">
          <a:extLst>
            <a:ext uri="{FF2B5EF4-FFF2-40B4-BE49-F238E27FC236}">
              <a16:creationId xmlns:a16="http://schemas.microsoft.com/office/drawing/2014/main" id="{00000000-0008-0000-3200-00007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 name="Option Button 114">
          <a:extLst>
            <a:ext uri="{FF2B5EF4-FFF2-40B4-BE49-F238E27FC236}">
              <a16:creationId xmlns:a16="http://schemas.microsoft.com/office/drawing/2014/main" id="{00000000-0008-0000-3200-00007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 name="Group Box 115" descr="Group Box 5">
          <a:extLst>
            <a:ext uri="{FF2B5EF4-FFF2-40B4-BE49-F238E27FC236}">
              <a16:creationId xmlns:a16="http://schemas.microsoft.com/office/drawing/2014/main" id="{00000000-0008-0000-3200-000074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xdr:row>
      <xdr:rowOff>28440</xdr:rowOff>
    </xdr:from>
    <xdr:to>
      <xdr:col>7</xdr:col>
      <xdr:colOff>-363960</xdr:colOff>
      <xdr:row>44</xdr:row>
      <xdr:rowOff>0</xdr:rowOff>
    </xdr:to>
    <xdr:sp macro="" textlink="">
      <xdr:nvSpPr>
        <xdr:cNvPr id="117" name="Option Button 116">
          <a:extLst>
            <a:ext uri="{FF2B5EF4-FFF2-40B4-BE49-F238E27FC236}">
              <a16:creationId xmlns:a16="http://schemas.microsoft.com/office/drawing/2014/main" id="{00000000-0008-0000-3200-00007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 name="Option Button 117">
          <a:extLst>
            <a:ext uri="{FF2B5EF4-FFF2-40B4-BE49-F238E27FC236}">
              <a16:creationId xmlns:a16="http://schemas.microsoft.com/office/drawing/2014/main" id="{00000000-0008-0000-3200-00007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 name="Option Button 118">
          <a:extLst>
            <a:ext uri="{FF2B5EF4-FFF2-40B4-BE49-F238E27FC236}">
              <a16:creationId xmlns:a16="http://schemas.microsoft.com/office/drawing/2014/main" id="{00000000-0008-0000-3200-00007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 name="Option Button 119">
          <a:extLst>
            <a:ext uri="{FF2B5EF4-FFF2-40B4-BE49-F238E27FC236}">
              <a16:creationId xmlns:a16="http://schemas.microsoft.com/office/drawing/2014/main" id="{00000000-0008-0000-3200-00007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 name="Group Box 120" descr="Group Box 5">
          <a:extLst>
            <a:ext uri="{FF2B5EF4-FFF2-40B4-BE49-F238E27FC236}">
              <a16:creationId xmlns:a16="http://schemas.microsoft.com/office/drawing/2014/main" id="{00000000-0008-0000-3200-000079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xdr:row>
      <xdr:rowOff>28440</xdr:rowOff>
    </xdr:from>
    <xdr:to>
      <xdr:col>7</xdr:col>
      <xdr:colOff>-363960</xdr:colOff>
      <xdr:row>45</xdr:row>
      <xdr:rowOff>0</xdr:rowOff>
    </xdr:to>
    <xdr:sp macro="" textlink="">
      <xdr:nvSpPr>
        <xdr:cNvPr id="122" name="Option Button 121">
          <a:extLst>
            <a:ext uri="{FF2B5EF4-FFF2-40B4-BE49-F238E27FC236}">
              <a16:creationId xmlns:a16="http://schemas.microsoft.com/office/drawing/2014/main" id="{00000000-0008-0000-3200-00007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 name="Option Button 122">
          <a:extLst>
            <a:ext uri="{FF2B5EF4-FFF2-40B4-BE49-F238E27FC236}">
              <a16:creationId xmlns:a16="http://schemas.microsoft.com/office/drawing/2014/main" id="{00000000-0008-0000-3200-00007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 name="Option Button 123">
          <a:extLst>
            <a:ext uri="{FF2B5EF4-FFF2-40B4-BE49-F238E27FC236}">
              <a16:creationId xmlns:a16="http://schemas.microsoft.com/office/drawing/2014/main" id="{00000000-0008-0000-3200-00007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 name="Option Button 124">
          <a:extLst>
            <a:ext uri="{FF2B5EF4-FFF2-40B4-BE49-F238E27FC236}">
              <a16:creationId xmlns:a16="http://schemas.microsoft.com/office/drawing/2014/main" id="{00000000-0008-0000-3200-00007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 name="Group Box 125" descr="Group Box 5">
          <a:extLst>
            <a:ext uri="{FF2B5EF4-FFF2-40B4-BE49-F238E27FC236}">
              <a16:creationId xmlns:a16="http://schemas.microsoft.com/office/drawing/2014/main" id="{00000000-0008-0000-3200-00007E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xdr:row>
      <xdr:rowOff>28440</xdr:rowOff>
    </xdr:from>
    <xdr:to>
      <xdr:col>7</xdr:col>
      <xdr:colOff>-363960</xdr:colOff>
      <xdr:row>46</xdr:row>
      <xdr:rowOff>0</xdr:rowOff>
    </xdr:to>
    <xdr:sp macro="" textlink="">
      <xdr:nvSpPr>
        <xdr:cNvPr id="127" name="Option Button 126">
          <a:extLst>
            <a:ext uri="{FF2B5EF4-FFF2-40B4-BE49-F238E27FC236}">
              <a16:creationId xmlns:a16="http://schemas.microsoft.com/office/drawing/2014/main" id="{00000000-0008-0000-3200-00007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 name="Option Button 127">
          <a:extLst>
            <a:ext uri="{FF2B5EF4-FFF2-40B4-BE49-F238E27FC236}">
              <a16:creationId xmlns:a16="http://schemas.microsoft.com/office/drawing/2014/main" id="{00000000-0008-0000-3200-00008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 name="Option Button 128">
          <a:extLst>
            <a:ext uri="{FF2B5EF4-FFF2-40B4-BE49-F238E27FC236}">
              <a16:creationId xmlns:a16="http://schemas.microsoft.com/office/drawing/2014/main" id="{00000000-0008-0000-3200-00008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 name="Option Button 129">
          <a:extLst>
            <a:ext uri="{FF2B5EF4-FFF2-40B4-BE49-F238E27FC236}">
              <a16:creationId xmlns:a16="http://schemas.microsoft.com/office/drawing/2014/main" id="{00000000-0008-0000-3200-00008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 name="Group Box 130" descr="Group Box 5">
          <a:extLst>
            <a:ext uri="{FF2B5EF4-FFF2-40B4-BE49-F238E27FC236}">
              <a16:creationId xmlns:a16="http://schemas.microsoft.com/office/drawing/2014/main" id="{00000000-0008-0000-3200-000083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xdr:row>
      <xdr:rowOff>28440</xdr:rowOff>
    </xdr:from>
    <xdr:to>
      <xdr:col>7</xdr:col>
      <xdr:colOff>-363960</xdr:colOff>
      <xdr:row>47</xdr:row>
      <xdr:rowOff>0</xdr:rowOff>
    </xdr:to>
    <xdr:sp macro="" textlink="">
      <xdr:nvSpPr>
        <xdr:cNvPr id="132" name="Option Button 131">
          <a:extLst>
            <a:ext uri="{FF2B5EF4-FFF2-40B4-BE49-F238E27FC236}">
              <a16:creationId xmlns:a16="http://schemas.microsoft.com/office/drawing/2014/main" id="{00000000-0008-0000-3200-00008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 name="Option Button 132">
          <a:extLst>
            <a:ext uri="{FF2B5EF4-FFF2-40B4-BE49-F238E27FC236}">
              <a16:creationId xmlns:a16="http://schemas.microsoft.com/office/drawing/2014/main" id="{00000000-0008-0000-3200-00008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 name="Option Button 133">
          <a:extLst>
            <a:ext uri="{FF2B5EF4-FFF2-40B4-BE49-F238E27FC236}">
              <a16:creationId xmlns:a16="http://schemas.microsoft.com/office/drawing/2014/main" id="{00000000-0008-0000-3200-00008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 name="Option Button 134">
          <a:extLst>
            <a:ext uri="{FF2B5EF4-FFF2-40B4-BE49-F238E27FC236}">
              <a16:creationId xmlns:a16="http://schemas.microsoft.com/office/drawing/2014/main" id="{00000000-0008-0000-3200-00008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 name="Group Box 135" descr="Group Box 5">
          <a:extLst>
            <a:ext uri="{FF2B5EF4-FFF2-40B4-BE49-F238E27FC236}">
              <a16:creationId xmlns:a16="http://schemas.microsoft.com/office/drawing/2014/main" id="{00000000-0008-0000-3200-000088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xdr:row>
      <xdr:rowOff>28440</xdr:rowOff>
    </xdr:from>
    <xdr:to>
      <xdr:col>7</xdr:col>
      <xdr:colOff>-363960</xdr:colOff>
      <xdr:row>48</xdr:row>
      <xdr:rowOff>0</xdr:rowOff>
    </xdr:to>
    <xdr:sp macro="" textlink="">
      <xdr:nvSpPr>
        <xdr:cNvPr id="137" name="Option Button 136">
          <a:extLst>
            <a:ext uri="{FF2B5EF4-FFF2-40B4-BE49-F238E27FC236}">
              <a16:creationId xmlns:a16="http://schemas.microsoft.com/office/drawing/2014/main" id="{00000000-0008-0000-3200-00008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 name="Option Button 137">
          <a:extLst>
            <a:ext uri="{FF2B5EF4-FFF2-40B4-BE49-F238E27FC236}">
              <a16:creationId xmlns:a16="http://schemas.microsoft.com/office/drawing/2014/main" id="{00000000-0008-0000-3200-00008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 name="Option Button 138">
          <a:extLst>
            <a:ext uri="{FF2B5EF4-FFF2-40B4-BE49-F238E27FC236}">
              <a16:creationId xmlns:a16="http://schemas.microsoft.com/office/drawing/2014/main" id="{00000000-0008-0000-3200-00008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 name="Option Button 139">
          <a:extLst>
            <a:ext uri="{FF2B5EF4-FFF2-40B4-BE49-F238E27FC236}">
              <a16:creationId xmlns:a16="http://schemas.microsoft.com/office/drawing/2014/main" id="{00000000-0008-0000-3200-00008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 name="Group Box 140" descr="Group Box 5">
          <a:extLst>
            <a:ext uri="{FF2B5EF4-FFF2-40B4-BE49-F238E27FC236}">
              <a16:creationId xmlns:a16="http://schemas.microsoft.com/office/drawing/2014/main" id="{00000000-0008-0000-3200-00008D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xdr:row>
      <xdr:rowOff>28440</xdr:rowOff>
    </xdr:from>
    <xdr:to>
      <xdr:col>7</xdr:col>
      <xdr:colOff>-363960</xdr:colOff>
      <xdr:row>49</xdr:row>
      <xdr:rowOff>0</xdr:rowOff>
    </xdr:to>
    <xdr:sp macro="" textlink="">
      <xdr:nvSpPr>
        <xdr:cNvPr id="142" name="Option Button 141">
          <a:extLst>
            <a:ext uri="{FF2B5EF4-FFF2-40B4-BE49-F238E27FC236}">
              <a16:creationId xmlns:a16="http://schemas.microsoft.com/office/drawing/2014/main" id="{00000000-0008-0000-3200-00008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 name="Option Button 142">
          <a:extLst>
            <a:ext uri="{FF2B5EF4-FFF2-40B4-BE49-F238E27FC236}">
              <a16:creationId xmlns:a16="http://schemas.microsoft.com/office/drawing/2014/main" id="{00000000-0008-0000-3200-00008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 name="Option Button 143">
          <a:extLst>
            <a:ext uri="{FF2B5EF4-FFF2-40B4-BE49-F238E27FC236}">
              <a16:creationId xmlns:a16="http://schemas.microsoft.com/office/drawing/2014/main" id="{00000000-0008-0000-3200-00009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 name="Option Button 144">
          <a:extLst>
            <a:ext uri="{FF2B5EF4-FFF2-40B4-BE49-F238E27FC236}">
              <a16:creationId xmlns:a16="http://schemas.microsoft.com/office/drawing/2014/main" id="{00000000-0008-0000-3200-00009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 name="Group Box 145" descr="Group Box 5">
          <a:extLst>
            <a:ext uri="{FF2B5EF4-FFF2-40B4-BE49-F238E27FC236}">
              <a16:creationId xmlns:a16="http://schemas.microsoft.com/office/drawing/2014/main" id="{00000000-0008-0000-3200-000092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xdr:row>
      <xdr:rowOff>28440</xdr:rowOff>
    </xdr:from>
    <xdr:to>
      <xdr:col>7</xdr:col>
      <xdr:colOff>-363960</xdr:colOff>
      <xdr:row>50</xdr:row>
      <xdr:rowOff>0</xdr:rowOff>
    </xdr:to>
    <xdr:sp macro="" textlink="">
      <xdr:nvSpPr>
        <xdr:cNvPr id="147" name="Option Button 146">
          <a:extLst>
            <a:ext uri="{FF2B5EF4-FFF2-40B4-BE49-F238E27FC236}">
              <a16:creationId xmlns:a16="http://schemas.microsoft.com/office/drawing/2014/main" id="{00000000-0008-0000-3200-00009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 name="Option Button 147">
          <a:extLst>
            <a:ext uri="{FF2B5EF4-FFF2-40B4-BE49-F238E27FC236}">
              <a16:creationId xmlns:a16="http://schemas.microsoft.com/office/drawing/2014/main" id="{00000000-0008-0000-3200-00009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 name="Option Button 148">
          <a:extLst>
            <a:ext uri="{FF2B5EF4-FFF2-40B4-BE49-F238E27FC236}">
              <a16:creationId xmlns:a16="http://schemas.microsoft.com/office/drawing/2014/main" id="{00000000-0008-0000-3200-00009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 name="Option Button 149">
          <a:extLst>
            <a:ext uri="{FF2B5EF4-FFF2-40B4-BE49-F238E27FC236}">
              <a16:creationId xmlns:a16="http://schemas.microsoft.com/office/drawing/2014/main" id="{00000000-0008-0000-3200-00009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 name="Group Box 150" descr="Group Box 5">
          <a:extLst>
            <a:ext uri="{FF2B5EF4-FFF2-40B4-BE49-F238E27FC236}">
              <a16:creationId xmlns:a16="http://schemas.microsoft.com/office/drawing/2014/main" id="{00000000-0008-0000-3200-000097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xdr:row>
      <xdr:rowOff>28440</xdr:rowOff>
    </xdr:from>
    <xdr:to>
      <xdr:col>7</xdr:col>
      <xdr:colOff>-363960</xdr:colOff>
      <xdr:row>51</xdr:row>
      <xdr:rowOff>0</xdr:rowOff>
    </xdr:to>
    <xdr:sp macro="" textlink="">
      <xdr:nvSpPr>
        <xdr:cNvPr id="152" name="Option Button 151">
          <a:extLst>
            <a:ext uri="{FF2B5EF4-FFF2-40B4-BE49-F238E27FC236}">
              <a16:creationId xmlns:a16="http://schemas.microsoft.com/office/drawing/2014/main" id="{00000000-0008-0000-3200-00009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 name="Option Button 152">
          <a:extLst>
            <a:ext uri="{FF2B5EF4-FFF2-40B4-BE49-F238E27FC236}">
              <a16:creationId xmlns:a16="http://schemas.microsoft.com/office/drawing/2014/main" id="{00000000-0008-0000-3200-00009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 name="Option Button 153">
          <a:extLst>
            <a:ext uri="{FF2B5EF4-FFF2-40B4-BE49-F238E27FC236}">
              <a16:creationId xmlns:a16="http://schemas.microsoft.com/office/drawing/2014/main" id="{00000000-0008-0000-3200-00009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 name="Option Button 154">
          <a:extLst>
            <a:ext uri="{FF2B5EF4-FFF2-40B4-BE49-F238E27FC236}">
              <a16:creationId xmlns:a16="http://schemas.microsoft.com/office/drawing/2014/main" id="{00000000-0008-0000-3200-00009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 name="Group Box 155" descr="Group Box 5">
          <a:extLst>
            <a:ext uri="{FF2B5EF4-FFF2-40B4-BE49-F238E27FC236}">
              <a16:creationId xmlns:a16="http://schemas.microsoft.com/office/drawing/2014/main" id="{00000000-0008-0000-3200-00009C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xdr:row>
      <xdr:rowOff>28440</xdr:rowOff>
    </xdr:from>
    <xdr:to>
      <xdr:col>7</xdr:col>
      <xdr:colOff>-363960</xdr:colOff>
      <xdr:row>52</xdr:row>
      <xdr:rowOff>0</xdr:rowOff>
    </xdr:to>
    <xdr:sp macro="" textlink="">
      <xdr:nvSpPr>
        <xdr:cNvPr id="157" name="Option Button 156">
          <a:extLst>
            <a:ext uri="{FF2B5EF4-FFF2-40B4-BE49-F238E27FC236}">
              <a16:creationId xmlns:a16="http://schemas.microsoft.com/office/drawing/2014/main" id="{00000000-0008-0000-3200-00009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 name="Option Button 157">
          <a:extLst>
            <a:ext uri="{FF2B5EF4-FFF2-40B4-BE49-F238E27FC236}">
              <a16:creationId xmlns:a16="http://schemas.microsoft.com/office/drawing/2014/main" id="{00000000-0008-0000-3200-00009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 name="Option Button 158">
          <a:extLst>
            <a:ext uri="{FF2B5EF4-FFF2-40B4-BE49-F238E27FC236}">
              <a16:creationId xmlns:a16="http://schemas.microsoft.com/office/drawing/2014/main" id="{00000000-0008-0000-3200-00009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 name="Option Button 159">
          <a:extLst>
            <a:ext uri="{FF2B5EF4-FFF2-40B4-BE49-F238E27FC236}">
              <a16:creationId xmlns:a16="http://schemas.microsoft.com/office/drawing/2014/main" id="{00000000-0008-0000-3200-0000A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 name="Group Box 160" descr="Group Box 5">
          <a:extLst>
            <a:ext uri="{FF2B5EF4-FFF2-40B4-BE49-F238E27FC236}">
              <a16:creationId xmlns:a16="http://schemas.microsoft.com/office/drawing/2014/main" id="{00000000-0008-0000-3200-0000A1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xdr:row>
      <xdr:rowOff>28440</xdr:rowOff>
    </xdr:from>
    <xdr:to>
      <xdr:col>7</xdr:col>
      <xdr:colOff>-363960</xdr:colOff>
      <xdr:row>53</xdr:row>
      <xdr:rowOff>0</xdr:rowOff>
    </xdr:to>
    <xdr:sp macro="" textlink="">
      <xdr:nvSpPr>
        <xdr:cNvPr id="162" name="Option Button 161">
          <a:extLst>
            <a:ext uri="{FF2B5EF4-FFF2-40B4-BE49-F238E27FC236}">
              <a16:creationId xmlns:a16="http://schemas.microsoft.com/office/drawing/2014/main" id="{00000000-0008-0000-3200-0000A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 name="Option Button 162">
          <a:extLst>
            <a:ext uri="{FF2B5EF4-FFF2-40B4-BE49-F238E27FC236}">
              <a16:creationId xmlns:a16="http://schemas.microsoft.com/office/drawing/2014/main" id="{00000000-0008-0000-3200-0000A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 name="Option Button 163">
          <a:extLst>
            <a:ext uri="{FF2B5EF4-FFF2-40B4-BE49-F238E27FC236}">
              <a16:creationId xmlns:a16="http://schemas.microsoft.com/office/drawing/2014/main" id="{00000000-0008-0000-3200-0000A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 name="Option Button 164">
          <a:extLst>
            <a:ext uri="{FF2B5EF4-FFF2-40B4-BE49-F238E27FC236}">
              <a16:creationId xmlns:a16="http://schemas.microsoft.com/office/drawing/2014/main" id="{00000000-0008-0000-3200-0000A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 name="Group Box 165" descr="Group Box 5">
          <a:extLst>
            <a:ext uri="{FF2B5EF4-FFF2-40B4-BE49-F238E27FC236}">
              <a16:creationId xmlns:a16="http://schemas.microsoft.com/office/drawing/2014/main" id="{00000000-0008-0000-3200-0000A6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xdr:row>
      <xdr:rowOff>28440</xdr:rowOff>
    </xdr:from>
    <xdr:to>
      <xdr:col>7</xdr:col>
      <xdr:colOff>-363960</xdr:colOff>
      <xdr:row>54</xdr:row>
      <xdr:rowOff>0</xdr:rowOff>
    </xdr:to>
    <xdr:sp macro="" textlink="">
      <xdr:nvSpPr>
        <xdr:cNvPr id="167" name="Option Button 166">
          <a:extLst>
            <a:ext uri="{FF2B5EF4-FFF2-40B4-BE49-F238E27FC236}">
              <a16:creationId xmlns:a16="http://schemas.microsoft.com/office/drawing/2014/main" id="{00000000-0008-0000-3200-0000A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 name="Option Button 167">
          <a:extLst>
            <a:ext uri="{FF2B5EF4-FFF2-40B4-BE49-F238E27FC236}">
              <a16:creationId xmlns:a16="http://schemas.microsoft.com/office/drawing/2014/main" id="{00000000-0008-0000-3200-0000A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 name="Option Button 168">
          <a:extLst>
            <a:ext uri="{FF2B5EF4-FFF2-40B4-BE49-F238E27FC236}">
              <a16:creationId xmlns:a16="http://schemas.microsoft.com/office/drawing/2014/main" id="{00000000-0008-0000-3200-0000A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 name="Option Button 169">
          <a:extLst>
            <a:ext uri="{FF2B5EF4-FFF2-40B4-BE49-F238E27FC236}">
              <a16:creationId xmlns:a16="http://schemas.microsoft.com/office/drawing/2014/main" id="{00000000-0008-0000-3200-0000A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 name="Group Box 170" descr="Group Box 5">
          <a:extLst>
            <a:ext uri="{FF2B5EF4-FFF2-40B4-BE49-F238E27FC236}">
              <a16:creationId xmlns:a16="http://schemas.microsoft.com/office/drawing/2014/main" id="{00000000-0008-0000-3200-0000AB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xdr:row>
      <xdr:rowOff>28440</xdr:rowOff>
    </xdr:from>
    <xdr:to>
      <xdr:col>7</xdr:col>
      <xdr:colOff>-363960</xdr:colOff>
      <xdr:row>55</xdr:row>
      <xdr:rowOff>0</xdr:rowOff>
    </xdr:to>
    <xdr:sp macro="" textlink="">
      <xdr:nvSpPr>
        <xdr:cNvPr id="172" name="Option Button 171">
          <a:extLst>
            <a:ext uri="{FF2B5EF4-FFF2-40B4-BE49-F238E27FC236}">
              <a16:creationId xmlns:a16="http://schemas.microsoft.com/office/drawing/2014/main" id="{00000000-0008-0000-3200-0000A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 name="Option Button 172">
          <a:extLst>
            <a:ext uri="{FF2B5EF4-FFF2-40B4-BE49-F238E27FC236}">
              <a16:creationId xmlns:a16="http://schemas.microsoft.com/office/drawing/2014/main" id="{00000000-0008-0000-3200-0000A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 name="Option Button 173">
          <a:extLst>
            <a:ext uri="{FF2B5EF4-FFF2-40B4-BE49-F238E27FC236}">
              <a16:creationId xmlns:a16="http://schemas.microsoft.com/office/drawing/2014/main" id="{00000000-0008-0000-3200-0000A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 name="Option Button 174">
          <a:extLst>
            <a:ext uri="{FF2B5EF4-FFF2-40B4-BE49-F238E27FC236}">
              <a16:creationId xmlns:a16="http://schemas.microsoft.com/office/drawing/2014/main" id="{00000000-0008-0000-3200-0000A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 name="Group Box 175" descr="Group Box 5">
          <a:extLst>
            <a:ext uri="{FF2B5EF4-FFF2-40B4-BE49-F238E27FC236}">
              <a16:creationId xmlns:a16="http://schemas.microsoft.com/office/drawing/2014/main" id="{00000000-0008-0000-3200-0000B0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xdr:row>
      <xdr:rowOff>28440</xdr:rowOff>
    </xdr:from>
    <xdr:to>
      <xdr:col>7</xdr:col>
      <xdr:colOff>-363960</xdr:colOff>
      <xdr:row>56</xdr:row>
      <xdr:rowOff>0</xdr:rowOff>
    </xdr:to>
    <xdr:sp macro="" textlink="">
      <xdr:nvSpPr>
        <xdr:cNvPr id="177" name="Option Button 176">
          <a:extLst>
            <a:ext uri="{FF2B5EF4-FFF2-40B4-BE49-F238E27FC236}">
              <a16:creationId xmlns:a16="http://schemas.microsoft.com/office/drawing/2014/main" id="{00000000-0008-0000-3200-0000B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 name="Option Button 177">
          <a:extLst>
            <a:ext uri="{FF2B5EF4-FFF2-40B4-BE49-F238E27FC236}">
              <a16:creationId xmlns:a16="http://schemas.microsoft.com/office/drawing/2014/main" id="{00000000-0008-0000-3200-0000B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 name="Option Button 178">
          <a:extLst>
            <a:ext uri="{FF2B5EF4-FFF2-40B4-BE49-F238E27FC236}">
              <a16:creationId xmlns:a16="http://schemas.microsoft.com/office/drawing/2014/main" id="{00000000-0008-0000-3200-0000B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 name="Option Button 179">
          <a:extLst>
            <a:ext uri="{FF2B5EF4-FFF2-40B4-BE49-F238E27FC236}">
              <a16:creationId xmlns:a16="http://schemas.microsoft.com/office/drawing/2014/main" id="{00000000-0008-0000-3200-0000B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 name="Group Box 180" descr="Group Box 5">
          <a:extLst>
            <a:ext uri="{FF2B5EF4-FFF2-40B4-BE49-F238E27FC236}">
              <a16:creationId xmlns:a16="http://schemas.microsoft.com/office/drawing/2014/main" id="{00000000-0008-0000-3200-0000B5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xdr:row>
      <xdr:rowOff>28440</xdr:rowOff>
    </xdr:from>
    <xdr:to>
      <xdr:col>7</xdr:col>
      <xdr:colOff>-363960</xdr:colOff>
      <xdr:row>57</xdr:row>
      <xdr:rowOff>0</xdr:rowOff>
    </xdr:to>
    <xdr:sp macro="" textlink="">
      <xdr:nvSpPr>
        <xdr:cNvPr id="182" name="Option Button 181">
          <a:extLst>
            <a:ext uri="{FF2B5EF4-FFF2-40B4-BE49-F238E27FC236}">
              <a16:creationId xmlns:a16="http://schemas.microsoft.com/office/drawing/2014/main" id="{00000000-0008-0000-3200-0000B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 name="Option Button 182">
          <a:extLst>
            <a:ext uri="{FF2B5EF4-FFF2-40B4-BE49-F238E27FC236}">
              <a16:creationId xmlns:a16="http://schemas.microsoft.com/office/drawing/2014/main" id="{00000000-0008-0000-3200-0000B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 name="Option Button 183">
          <a:extLst>
            <a:ext uri="{FF2B5EF4-FFF2-40B4-BE49-F238E27FC236}">
              <a16:creationId xmlns:a16="http://schemas.microsoft.com/office/drawing/2014/main" id="{00000000-0008-0000-3200-0000B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 name="Option Button 184">
          <a:extLst>
            <a:ext uri="{FF2B5EF4-FFF2-40B4-BE49-F238E27FC236}">
              <a16:creationId xmlns:a16="http://schemas.microsoft.com/office/drawing/2014/main" id="{00000000-0008-0000-3200-0000B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 name="Group Box 185" descr="Group Box 5">
          <a:extLst>
            <a:ext uri="{FF2B5EF4-FFF2-40B4-BE49-F238E27FC236}">
              <a16:creationId xmlns:a16="http://schemas.microsoft.com/office/drawing/2014/main" id="{00000000-0008-0000-3200-0000BA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xdr:row>
      <xdr:rowOff>28440</xdr:rowOff>
    </xdr:from>
    <xdr:to>
      <xdr:col>7</xdr:col>
      <xdr:colOff>-363960</xdr:colOff>
      <xdr:row>58</xdr:row>
      <xdr:rowOff>0</xdr:rowOff>
    </xdr:to>
    <xdr:sp macro="" textlink="">
      <xdr:nvSpPr>
        <xdr:cNvPr id="187" name="Option Button 186">
          <a:extLst>
            <a:ext uri="{FF2B5EF4-FFF2-40B4-BE49-F238E27FC236}">
              <a16:creationId xmlns:a16="http://schemas.microsoft.com/office/drawing/2014/main" id="{00000000-0008-0000-3200-0000B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 name="Option Button 187">
          <a:extLst>
            <a:ext uri="{FF2B5EF4-FFF2-40B4-BE49-F238E27FC236}">
              <a16:creationId xmlns:a16="http://schemas.microsoft.com/office/drawing/2014/main" id="{00000000-0008-0000-3200-0000B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 name="Option Button 188">
          <a:extLst>
            <a:ext uri="{FF2B5EF4-FFF2-40B4-BE49-F238E27FC236}">
              <a16:creationId xmlns:a16="http://schemas.microsoft.com/office/drawing/2014/main" id="{00000000-0008-0000-3200-0000B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 name="Option Button 189">
          <a:extLst>
            <a:ext uri="{FF2B5EF4-FFF2-40B4-BE49-F238E27FC236}">
              <a16:creationId xmlns:a16="http://schemas.microsoft.com/office/drawing/2014/main" id="{00000000-0008-0000-3200-0000B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 name="Group Box 190" descr="Group Box 5">
          <a:extLst>
            <a:ext uri="{FF2B5EF4-FFF2-40B4-BE49-F238E27FC236}">
              <a16:creationId xmlns:a16="http://schemas.microsoft.com/office/drawing/2014/main" id="{00000000-0008-0000-3200-0000BF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xdr:row>
      <xdr:rowOff>28440</xdr:rowOff>
    </xdr:from>
    <xdr:to>
      <xdr:col>7</xdr:col>
      <xdr:colOff>-363960</xdr:colOff>
      <xdr:row>59</xdr:row>
      <xdr:rowOff>0</xdr:rowOff>
    </xdr:to>
    <xdr:sp macro="" textlink="">
      <xdr:nvSpPr>
        <xdr:cNvPr id="192" name="Option Button 191">
          <a:extLst>
            <a:ext uri="{FF2B5EF4-FFF2-40B4-BE49-F238E27FC236}">
              <a16:creationId xmlns:a16="http://schemas.microsoft.com/office/drawing/2014/main" id="{00000000-0008-0000-3200-0000C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 name="Option Button 192">
          <a:extLst>
            <a:ext uri="{FF2B5EF4-FFF2-40B4-BE49-F238E27FC236}">
              <a16:creationId xmlns:a16="http://schemas.microsoft.com/office/drawing/2014/main" id="{00000000-0008-0000-3200-0000C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 name="Option Button 193">
          <a:extLst>
            <a:ext uri="{FF2B5EF4-FFF2-40B4-BE49-F238E27FC236}">
              <a16:creationId xmlns:a16="http://schemas.microsoft.com/office/drawing/2014/main" id="{00000000-0008-0000-3200-0000C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 name="Option Button 194">
          <a:extLst>
            <a:ext uri="{FF2B5EF4-FFF2-40B4-BE49-F238E27FC236}">
              <a16:creationId xmlns:a16="http://schemas.microsoft.com/office/drawing/2014/main" id="{00000000-0008-0000-3200-0000C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 name="Group Box 195" descr="Group Box 5">
          <a:extLst>
            <a:ext uri="{FF2B5EF4-FFF2-40B4-BE49-F238E27FC236}">
              <a16:creationId xmlns:a16="http://schemas.microsoft.com/office/drawing/2014/main" id="{00000000-0008-0000-3200-0000C4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xdr:row>
      <xdr:rowOff>28440</xdr:rowOff>
    </xdr:from>
    <xdr:to>
      <xdr:col>7</xdr:col>
      <xdr:colOff>-363960</xdr:colOff>
      <xdr:row>60</xdr:row>
      <xdr:rowOff>0</xdr:rowOff>
    </xdr:to>
    <xdr:sp macro="" textlink="">
      <xdr:nvSpPr>
        <xdr:cNvPr id="197" name="Option Button 196">
          <a:extLst>
            <a:ext uri="{FF2B5EF4-FFF2-40B4-BE49-F238E27FC236}">
              <a16:creationId xmlns:a16="http://schemas.microsoft.com/office/drawing/2014/main" id="{00000000-0008-0000-3200-0000C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 name="Option Button 197">
          <a:extLst>
            <a:ext uri="{FF2B5EF4-FFF2-40B4-BE49-F238E27FC236}">
              <a16:creationId xmlns:a16="http://schemas.microsoft.com/office/drawing/2014/main" id="{00000000-0008-0000-3200-0000C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 name="Option Button 198">
          <a:extLst>
            <a:ext uri="{FF2B5EF4-FFF2-40B4-BE49-F238E27FC236}">
              <a16:creationId xmlns:a16="http://schemas.microsoft.com/office/drawing/2014/main" id="{00000000-0008-0000-3200-0000C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 name="Option Button 199">
          <a:extLst>
            <a:ext uri="{FF2B5EF4-FFF2-40B4-BE49-F238E27FC236}">
              <a16:creationId xmlns:a16="http://schemas.microsoft.com/office/drawing/2014/main" id="{00000000-0008-0000-3200-0000C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 name="Group Box 200" descr="Group Box 5">
          <a:extLst>
            <a:ext uri="{FF2B5EF4-FFF2-40B4-BE49-F238E27FC236}">
              <a16:creationId xmlns:a16="http://schemas.microsoft.com/office/drawing/2014/main" id="{00000000-0008-0000-3200-0000C9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xdr:row>
      <xdr:rowOff>28440</xdr:rowOff>
    </xdr:from>
    <xdr:to>
      <xdr:col>7</xdr:col>
      <xdr:colOff>-363960</xdr:colOff>
      <xdr:row>61</xdr:row>
      <xdr:rowOff>0</xdr:rowOff>
    </xdr:to>
    <xdr:sp macro="" textlink="">
      <xdr:nvSpPr>
        <xdr:cNvPr id="202" name="Option Button 201">
          <a:extLst>
            <a:ext uri="{FF2B5EF4-FFF2-40B4-BE49-F238E27FC236}">
              <a16:creationId xmlns:a16="http://schemas.microsoft.com/office/drawing/2014/main" id="{00000000-0008-0000-3200-0000C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 name="Option Button 202">
          <a:extLst>
            <a:ext uri="{FF2B5EF4-FFF2-40B4-BE49-F238E27FC236}">
              <a16:creationId xmlns:a16="http://schemas.microsoft.com/office/drawing/2014/main" id="{00000000-0008-0000-3200-0000C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 name="Option Button 203">
          <a:extLst>
            <a:ext uri="{FF2B5EF4-FFF2-40B4-BE49-F238E27FC236}">
              <a16:creationId xmlns:a16="http://schemas.microsoft.com/office/drawing/2014/main" id="{00000000-0008-0000-3200-0000C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 name="Option Button 204">
          <a:extLst>
            <a:ext uri="{FF2B5EF4-FFF2-40B4-BE49-F238E27FC236}">
              <a16:creationId xmlns:a16="http://schemas.microsoft.com/office/drawing/2014/main" id="{00000000-0008-0000-3200-0000C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 name="Group Box 205" descr="Group Box 5">
          <a:extLst>
            <a:ext uri="{FF2B5EF4-FFF2-40B4-BE49-F238E27FC236}">
              <a16:creationId xmlns:a16="http://schemas.microsoft.com/office/drawing/2014/main" id="{00000000-0008-0000-3200-0000CE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xdr:row>
      <xdr:rowOff>28440</xdr:rowOff>
    </xdr:from>
    <xdr:to>
      <xdr:col>7</xdr:col>
      <xdr:colOff>-363960</xdr:colOff>
      <xdr:row>62</xdr:row>
      <xdr:rowOff>0</xdr:rowOff>
    </xdr:to>
    <xdr:sp macro="" textlink="">
      <xdr:nvSpPr>
        <xdr:cNvPr id="207" name="Option Button 206">
          <a:extLst>
            <a:ext uri="{FF2B5EF4-FFF2-40B4-BE49-F238E27FC236}">
              <a16:creationId xmlns:a16="http://schemas.microsoft.com/office/drawing/2014/main" id="{00000000-0008-0000-3200-0000C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 name="Option Button 207">
          <a:extLst>
            <a:ext uri="{FF2B5EF4-FFF2-40B4-BE49-F238E27FC236}">
              <a16:creationId xmlns:a16="http://schemas.microsoft.com/office/drawing/2014/main" id="{00000000-0008-0000-3200-0000D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 name="Option Button 208">
          <a:extLst>
            <a:ext uri="{FF2B5EF4-FFF2-40B4-BE49-F238E27FC236}">
              <a16:creationId xmlns:a16="http://schemas.microsoft.com/office/drawing/2014/main" id="{00000000-0008-0000-3200-0000D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 name="Option Button 209">
          <a:extLst>
            <a:ext uri="{FF2B5EF4-FFF2-40B4-BE49-F238E27FC236}">
              <a16:creationId xmlns:a16="http://schemas.microsoft.com/office/drawing/2014/main" id="{00000000-0008-0000-3200-0000D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 name="Group Box 210" descr="Group Box 5">
          <a:extLst>
            <a:ext uri="{FF2B5EF4-FFF2-40B4-BE49-F238E27FC236}">
              <a16:creationId xmlns:a16="http://schemas.microsoft.com/office/drawing/2014/main" id="{00000000-0008-0000-3200-0000D3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xdr:row>
      <xdr:rowOff>28440</xdr:rowOff>
    </xdr:from>
    <xdr:to>
      <xdr:col>7</xdr:col>
      <xdr:colOff>-363960</xdr:colOff>
      <xdr:row>63</xdr:row>
      <xdr:rowOff>0</xdr:rowOff>
    </xdr:to>
    <xdr:sp macro="" textlink="">
      <xdr:nvSpPr>
        <xdr:cNvPr id="212" name="Option Button 211">
          <a:extLst>
            <a:ext uri="{FF2B5EF4-FFF2-40B4-BE49-F238E27FC236}">
              <a16:creationId xmlns:a16="http://schemas.microsoft.com/office/drawing/2014/main" id="{00000000-0008-0000-3200-0000D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 name="Option Button 212">
          <a:extLst>
            <a:ext uri="{FF2B5EF4-FFF2-40B4-BE49-F238E27FC236}">
              <a16:creationId xmlns:a16="http://schemas.microsoft.com/office/drawing/2014/main" id="{00000000-0008-0000-3200-0000D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 name="Option Button 213">
          <a:extLst>
            <a:ext uri="{FF2B5EF4-FFF2-40B4-BE49-F238E27FC236}">
              <a16:creationId xmlns:a16="http://schemas.microsoft.com/office/drawing/2014/main" id="{00000000-0008-0000-3200-0000D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 name="Option Button 214">
          <a:extLst>
            <a:ext uri="{FF2B5EF4-FFF2-40B4-BE49-F238E27FC236}">
              <a16:creationId xmlns:a16="http://schemas.microsoft.com/office/drawing/2014/main" id="{00000000-0008-0000-3200-0000D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 name="Group Box 215" descr="Group Box 5">
          <a:extLst>
            <a:ext uri="{FF2B5EF4-FFF2-40B4-BE49-F238E27FC236}">
              <a16:creationId xmlns:a16="http://schemas.microsoft.com/office/drawing/2014/main" id="{00000000-0008-0000-3200-0000D8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xdr:row>
      <xdr:rowOff>28440</xdr:rowOff>
    </xdr:from>
    <xdr:to>
      <xdr:col>7</xdr:col>
      <xdr:colOff>-363960</xdr:colOff>
      <xdr:row>64</xdr:row>
      <xdr:rowOff>0</xdr:rowOff>
    </xdr:to>
    <xdr:sp macro="" textlink="">
      <xdr:nvSpPr>
        <xdr:cNvPr id="217" name="Option Button 216">
          <a:extLst>
            <a:ext uri="{FF2B5EF4-FFF2-40B4-BE49-F238E27FC236}">
              <a16:creationId xmlns:a16="http://schemas.microsoft.com/office/drawing/2014/main" id="{00000000-0008-0000-3200-0000D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 name="Option Button 217">
          <a:extLst>
            <a:ext uri="{FF2B5EF4-FFF2-40B4-BE49-F238E27FC236}">
              <a16:creationId xmlns:a16="http://schemas.microsoft.com/office/drawing/2014/main" id="{00000000-0008-0000-3200-0000D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 name="Option Button 218">
          <a:extLst>
            <a:ext uri="{FF2B5EF4-FFF2-40B4-BE49-F238E27FC236}">
              <a16:creationId xmlns:a16="http://schemas.microsoft.com/office/drawing/2014/main" id="{00000000-0008-0000-3200-0000D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 name="Option Button 219">
          <a:extLst>
            <a:ext uri="{FF2B5EF4-FFF2-40B4-BE49-F238E27FC236}">
              <a16:creationId xmlns:a16="http://schemas.microsoft.com/office/drawing/2014/main" id="{00000000-0008-0000-3200-0000D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 name="Group Box 220" descr="Group Box 5">
          <a:extLst>
            <a:ext uri="{FF2B5EF4-FFF2-40B4-BE49-F238E27FC236}">
              <a16:creationId xmlns:a16="http://schemas.microsoft.com/office/drawing/2014/main" id="{00000000-0008-0000-3200-0000DD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xdr:row>
      <xdr:rowOff>28440</xdr:rowOff>
    </xdr:from>
    <xdr:to>
      <xdr:col>7</xdr:col>
      <xdr:colOff>-363960</xdr:colOff>
      <xdr:row>65</xdr:row>
      <xdr:rowOff>0</xdr:rowOff>
    </xdr:to>
    <xdr:sp macro="" textlink="">
      <xdr:nvSpPr>
        <xdr:cNvPr id="222" name="Option Button 221">
          <a:extLst>
            <a:ext uri="{FF2B5EF4-FFF2-40B4-BE49-F238E27FC236}">
              <a16:creationId xmlns:a16="http://schemas.microsoft.com/office/drawing/2014/main" id="{00000000-0008-0000-3200-0000D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 name="Option Button 222">
          <a:extLst>
            <a:ext uri="{FF2B5EF4-FFF2-40B4-BE49-F238E27FC236}">
              <a16:creationId xmlns:a16="http://schemas.microsoft.com/office/drawing/2014/main" id="{00000000-0008-0000-3200-0000D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 name="Option Button 223">
          <a:extLst>
            <a:ext uri="{FF2B5EF4-FFF2-40B4-BE49-F238E27FC236}">
              <a16:creationId xmlns:a16="http://schemas.microsoft.com/office/drawing/2014/main" id="{00000000-0008-0000-3200-0000E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 name="Option Button 224">
          <a:extLst>
            <a:ext uri="{FF2B5EF4-FFF2-40B4-BE49-F238E27FC236}">
              <a16:creationId xmlns:a16="http://schemas.microsoft.com/office/drawing/2014/main" id="{00000000-0008-0000-3200-0000E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 name="Group Box 225" descr="Group Box 5">
          <a:extLst>
            <a:ext uri="{FF2B5EF4-FFF2-40B4-BE49-F238E27FC236}">
              <a16:creationId xmlns:a16="http://schemas.microsoft.com/office/drawing/2014/main" id="{00000000-0008-0000-3200-0000E2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xdr:row>
      <xdr:rowOff>28440</xdr:rowOff>
    </xdr:from>
    <xdr:to>
      <xdr:col>7</xdr:col>
      <xdr:colOff>-363960</xdr:colOff>
      <xdr:row>66</xdr:row>
      <xdr:rowOff>0</xdr:rowOff>
    </xdr:to>
    <xdr:sp macro="" textlink="">
      <xdr:nvSpPr>
        <xdr:cNvPr id="227" name="Option Button 226">
          <a:extLst>
            <a:ext uri="{FF2B5EF4-FFF2-40B4-BE49-F238E27FC236}">
              <a16:creationId xmlns:a16="http://schemas.microsoft.com/office/drawing/2014/main" id="{00000000-0008-0000-3200-0000E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 name="Option Button 227">
          <a:extLst>
            <a:ext uri="{FF2B5EF4-FFF2-40B4-BE49-F238E27FC236}">
              <a16:creationId xmlns:a16="http://schemas.microsoft.com/office/drawing/2014/main" id="{00000000-0008-0000-3200-0000E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 name="Option Button 228">
          <a:extLst>
            <a:ext uri="{FF2B5EF4-FFF2-40B4-BE49-F238E27FC236}">
              <a16:creationId xmlns:a16="http://schemas.microsoft.com/office/drawing/2014/main" id="{00000000-0008-0000-3200-0000E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 name="Option Button 229">
          <a:extLst>
            <a:ext uri="{FF2B5EF4-FFF2-40B4-BE49-F238E27FC236}">
              <a16:creationId xmlns:a16="http://schemas.microsoft.com/office/drawing/2014/main" id="{00000000-0008-0000-3200-0000E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 name="Group Box 230" descr="Group Box 5">
          <a:extLst>
            <a:ext uri="{FF2B5EF4-FFF2-40B4-BE49-F238E27FC236}">
              <a16:creationId xmlns:a16="http://schemas.microsoft.com/office/drawing/2014/main" id="{00000000-0008-0000-3200-0000E7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xdr:row>
      <xdr:rowOff>28440</xdr:rowOff>
    </xdr:from>
    <xdr:to>
      <xdr:col>7</xdr:col>
      <xdr:colOff>-363960</xdr:colOff>
      <xdr:row>67</xdr:row>
      <xdr:rowOff>0</xdr:rowOff>
    </xdr:to>
    <xdr:sp macro="" textlink="">
      <xdr:nvSpPr>
        <xdr:cNvPr id="232" name="Option Button 231">
          <a:extLst>
            <a:ext uri="{FF2B5EF4-FFF2-40B4-BE49-F238E27FC236}">
              <a16:creationId xmlns:a16="http://schemas.microsoft.com/office/drawing/2014/main" id="{00000000-0008-0000-3200-0000E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 name="Option Button 232">
          <a:extLst>
            <a:ext uri="{FF2B5EF4-FFF2-40B4-BE49-F238E27FC236}">
              <a16:creationId xmlns:a16="http://schemas.microsoft.com/office/drawing/2014/main" id="{00000000-0008-0000-3200-0000E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 name="Option Button 233">
          <a:extLst>
            <a:ext uri="{FF2B5EF4-FFF2-40B4-BE49-F238E27FC236}">
              <a16:creationId xmlns:a16="http://schemas.microsoft.com/office/drawing/2014/main" id="{00000000-0008-0000-3200-0000E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 name="Option Button 234">
          <a:extLst>
            <a:ext uri="{FF2B5EF4-FFF2-40B4-BE49-F238E27FC236}">
              <a16:creationId xmlns:a16="http://schemas.microsoft.com/office/drawing/2014/main" id="{00000000-0008-0000-3200-0000E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 name="Group Box 235" descr="Group Box 5">
          <a:extLst>
            <a:ext uri="{FF2B5EF4-FFF2-40B4-BE49-F238E27FC236}">
              <a16:creationId xmlns:a16="http://schemas.microsoft.com/office/drawing/2014/main" id="{00000000-0008-0000-3200-0000EC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xdr:row>
      <xdr:rowOff>28440</xdr:rowOff>
    </xdr:from>
    <xdr:to>
      <xdr:col>7</xdr:col>
      <xdr:colOff>-363960</xdr:colOff>
      <xdr:row>68</xdr:row>
      <xdr:rowOff>0</xdr:rowOff>
    </xdr:to>
    <xdr:sp macro="" textlink="">
      <xdr:nvSpPr>
        <xdr:cNvPr id="237" name="Option Button 236">
          <a:extLst>
            <a:ext uri="{FF2B5EF4-FFF2-40B4-BE49-F238E27FC236}">
              <a16:creationId xmlns:a16="http://schemas.microsoft.com/office/drawing/2014/main" id="{00000000-0008-0000-3200-0000E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 name="Option Button 237">
          <a:extLst>
            <a:ext uri="{FF2B5EF4-FFF2-40B4-BE49-F238E27FC236}">
              <a16:creationId xmlns:a16="http://schemas.microsoft.com/office/drawing/2014/main" id="{00000000-0008-0000-3200-0000E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 name="Option Button 238">
          <a:extLst>
            <a:ext uri="{FF2B5EF4-FFF2-40B4-BE49-F238E27FC236}">
              <a16:creationId xmlns:a16="http://schemas.microsoft.com/office/drawing/2014/main" id="{00000000-0008-0000-3200-0000E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 name="Option Button 239">
          <a:extLst>
            <a:ext uri="{FF2B5EF4-FFF2-40B4-BE49-F238E27FC236}">
              <a16:creationId xmlns:a16="http://schemas.microsoft.com/office/drawing/2014/main" id="{00000000-0008-0000-3200-0000F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 name="Group Box 240" descr="Group Box 5">
          <a:extLst>
            <a:ext uri="{FF2B5EF4-FFF2-40B4-BE49-F238E27FC236}">
              <a16:creationId xmlns:a16="http://schemas.microsoft.com/office/drawing/2014/main" id="{00000000-0008-0000-3200-0000F1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xdr:row>
      <xdr:rowOff>28440</xdr:rowOff>
    </xdr:from>
    <xdr:to>
      <xdr:col>7</xdr:col>
      <xdr:colOff>-363960</xdr:colOff>
      <xdr:row>69</xdr:row>
      <xdr:rowOff>0</xdr:rowOff>
    </xdr:to>
    <xdr:sp macro="" textlink="">
      <xdr:nvSpPr>
        <xdr:cNvPr id="242" name="Option Button 241">
          <a:extLst>
            <a:ext uri="{FF2B5EF4-FFF2-40B4-BE49-F238E27FC236}">
              <a16:creationId xmlns:a16="http://schemas.microsoft.com/office/drawing/2014/main" id="{00000000-0008-0000-3200-0000F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 name="Option Button 242">
          <a:extLst>
            <a:ext uri="{FF2B5EF4-FFF2-40B4-BE49-F238E27FC236}">
              <a16:creationId xmlns:a16="http://schemas.microsoft.com/office/drawing/2014/main" id="{00000000-0008-0000-3200-0000F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 name="Option Button 243">
          <a:extLst>
            <a:ext uri="{FF2B5EF4-FFF2-40B4-BE49-F238E27FC236}">
              <a16:creationId xmlns:a16="http://schemas.microsoft.com/office/drawing/2014/main" id="{00000000-0008-0000-3200-0000F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 name="Option Button 244">
          <a:extLst>
            <a:ext uri="{FF2B5EF4-FFF2-40B4-BE49-F238E27FC236}">
              <a16:creationId xmlns:a16="http://schemas.microsoft.com/office/drawing/2014/main" id="{00000000-0008-0000-3200-0000F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 name="Group Box 245" descr="Group Box 5">
          <a:extLst>
            <a:ext uri="{FF2B5EF4-FFF2-40B4-BE49-F238E27FC236}">
              <a16:creationId xmlns:a16="http://schemas.microsoft.com/office/drawing/2014/main" id="{00000000-0008-0000-3200-0000F6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xdr:row>
      <xdr:rowOff>28440</xdr:rowOff>
    </xdr:from>
    <xdr:to>
      <xdr:col>7</xdr:col>
      <xdr:colOff>-363960</xdr:colOff>
      <xdr:row>70</xdr:row>
      <xdr:rowOff>0</xdr:rowOff>
    </xdr:to>
    <xdr:sp macro="" textlink="">
      <xdr:nvSpPr>
        <xdr:cNvPr id="247" name="Option Button 246">
          <a:extLst>
            <a:ext uri="{FF2B5EF4-FFF2-40B4-BE49-F238E27FC236}">
              <a16:creationId xmlns:a16="http://schemas.microsoft.com/office/drawing/2014/main" id="{00000000-0008-0000-3200-0000F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 name="Option Button 247">
          <a:extLst>
            <a:ext uri="{FF2B5EF4-FFF2-40B4-BE49-F238E27FC236}">
              <a16:creationId xmlns:a16="http://schemas.microsoft.com/office/drawing/2014/main" id="{00000000-0008-0000-3200-0000F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 name="Option Button 248">
          <a:extLst>
            <a:ext uri="{FF2B5EF4-FFF2-40B4-BE49-F238E27FC236}">
              <a16:creationId xmlns:a16="http://schemas.microsoft.com/office/drawing/2014/main" id="{00000000-0008-0000-3200-0000F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 name="Option Button 249">
          <a:extLst>
            <a:ext uri="{FF2B5EF4-FFF2-40B4-BE49-F238E27FC236}">
              <a16:creationId xmlns:a16="http://schemas.microsoft.com/office/drawing/2014/main" id="{00000000-0008-0000-3200-0000F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 name="Group Box 250" descr="Group Box 5">
          <a:extLst>
            <a:ext uri="{FF2B5EF4-FFF2-40B4-BE49-F238E27FC236}">
              <a16:creationId xmlns:a16="http://schemas.microsoft.com/office/drawing/2014/main" id="{00000000-0008-0000-3200-0000FB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70</xdr:row>
      <xdr:rowOff>28440</xdr:rowOff>
    </xdr:from>
    <xdr:to>
      <xdr:col>7</xdr:col>
      <xdr:colOff>-363960</xdr:colOff>
      <xdr:row>71</xdr:row>
      <xdr:rowOff>0</xdr:rowOff>
    </xdr:to>
    <xdr:sp macro="" textlink="">
      <xdr:nvSpPr>
        <xdr:cNvPr id="252" name="Option Button 251">
          <a:extLst>
            <a:ext uri="{FF2B5EF4-FFF2-40B4-BE49-F238E27FC236}">
              <a16:creationId xmlns:a16="http://schemas.microsoft.com/office/drawing/2014/main" id="{00000000-0008-0000-3200-0000F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 name="Option Button 252">
          <a:extLst>
            <a:ext uri="{FF2B5EF4-FFF2-40B4-BE49-F238E27FC236}">
              <a16:creationId xmlns:a16="http://schemas.microsoft.com/office/drawing/2014/main" id="{00000000-0008-0000-3200-0000F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 name="Option Button 253">
          <a:extLst>
            <a:ext uri="{FF2B5EF4-FFF2-40B4-BE49-F238E27FC236}">
              <a16:creationId xmlns:a16="http://schemas.microsoft.com/office/drawing/2014/main" id="{00000000-0008-0000-3200-0000F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 name="Option Button 254">
          <a:extLst>
            <a:ext uri="{FF2B5EF4-FFF2-40B4-BE49-F238E27FC236}">
              <a16:creationId xmlns:a16="http://schemas.microsoft.com/office/drawing/2014/main" id="{00000000-0008-0000-3200-0000F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 name="Group Box 255" descr="Group Box 5">
          <a:extLst>
            <a:ext uri="{FF2B5EF4-FFF2-40B4-BE49-F238E27FC236}">
              <a16:creationId xmlns:a16="http://schemas.microsoft.com/office/drawing/2014/main" id="{00000000-0008-0000-3200-000000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71</xdr:row>
      <xdr:rowOff>28440</xdr:rowOff>
    </xdr:from>
    <xdr:to>
      <xdr:col>7</xdr:col>
      <xdr:colOff>-363960</xdr:colOff>
      <xdr:row>72</xdr:row>
      <xdr:rowOff>0</xdr:rowOff>
    </xdr:to>
    <xdr:sp macro="" textlink="">
      <xdr:nvSpPr>
        <xdr:cNvPr id="257" name="Option Button 256">
          <a:extLst>
            <a:ext uri="{FF2B5EF4-FFF2-40B4-BE49-F238E27FC236}">
              <a16:creationId xmlns:a16="http://schemas.microsoft.com/office/drawing/2014/main" id="{00000000-0008-0000-3200-00000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 name="Option Button 257">
          <a:extLst>
            <a:ext uri="{FF2B5EF4-FFF2-40B4-BE49-F238E27FC236}">
              <a16:creationId xmlns:a16="http://schemas.microsoft.com/office/drawing/2014/main" id="{00000000-0008-0000-3200-00000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 name="Option Button 258">
          <a:extLst>
            <a:ext uri="{FF2B5EF4-FFF2-40B4-BE49-F238E27FC236}">
              <a16:creationId xmlns:a16="http://schemas.microsoft.com/office/drawing/2014/main" id="{00000000-0008-0000-3200-00000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 name="Option Button 259">
          <a:extLst>
            <a:ext uri="{FF2B5EF4-FFF2-40B4-BE49-F238E27FC236}">
              <a16:creationId xmlns:a16="http://schemas.microsoft.com/office/drawing/2014/main" id="{00000000-0008-0000-3200-00000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 name="Group Box 260" descr="Group Box 5">
          <a:extLst>
            <a:ext uri="{FF2B5EF4-FFF2-40B4-BE49-F238E27FC236}">
              <a16:creationId xmlns:a16="http://schemas.microsoft.com/office/drawing/2014/main" id="{00000000-0008-0000-3200-000005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72</xdr:row>
      <xdr:rowOff>28440</xdr:rowOff>
    </xdr:from>
    <xdr:to>
      <xdr:col>7</xdr:col>
      <xdr:colOff>-363960</xdr:colOff>
      <xdr:row>73</xdr:row>
      <xdr:rowOff>0</xdr:rowOff>
    </xdr:to>
    <xdr:sp macro="" textlink="">
      <xdr:nvSpPr>
        <xdr:cNvPr id="262" name="Option Button 261">
          <a:extLst>
            <a:ext uri="{FF2B5EF4-FFF2-40B4-BE49-F238E27FC236}">
              <a16:creationId xmlns:a16="http://schemas.microsoft.com/office/drawing/2014/main" id="{00000000-0008-0000-3200-00000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 name="Option Button 262">
          <a:extLst>
            <a:ext uri="{FF2B5EF4-FFF2-40B4-BE49-F238E27FC236}">
              <a16:creationId xmlns:a16="http://schemas.microsoft.com/office/drawing/2014/main" id="{00000000-0008-0000-3200-00000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 name="Option Button 263">
          <a:extLst>
            <a:ext uri="{FF2B5EF4-FFF2-40B4-BE49-F238E27FC236}">
              <a16:creationId xmlns:a16="http://schemas.microsoft.com/office/drawing/2014/main" id="{00000000-0008-0000-3200-00000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 name="Option Button 264">
          <a:extLst>
            <a:ext uri="{FF2B5EF4-FFF2-40B4-BE49-F238E27FC236}">
              <a16:creationId xmlns:a16="http://schemas.microsoft.com/office/drawing/2014/main" id="{00000000-0008-0000-3200-00000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 name="Group Box 265" descr="Group Box 5">
          <a:extLst>
            <a:ext uri="{FF2B5EF4-FFF2-40B4-BE49-F238E27FC236}">
              <a16:creationId xmlns:a16="http://schemas.microsoft.com/office/drawing/2014/main" id="{00000000-0008-0000-3200-00000A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73</xdr:row>
      <xdr:rowOff>28440</xdr:rowOff>
    </xdr:from>
    <xdr:to>
      <xdr:col>7</xdr:col>
      <xdr:colOff>-363960</xdr:colOff>
      <xdr:row>74</xdr:row>
      <xdr:rowOff>0</xdr:rowOff>
    </xdr:to>
    <xdr:sp macro="" textlink="">
      <xdr:nvSpPr>
        <xdr:cNvPr id="267" name="Option Button 266">
          <a:extLst>
            <a:ext uri="{FF2B5EF4-FFF2-40B4-BE49-F238E27FC236}">
              <a16:creationId xmlns:a16="http://schemas.microsoft.com/office/drawing/2014/main" id="{00000000-0008-0000-3200-00000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 name="Option Button 267">
          <a:extLst>
            <a:ext uri="{FF2B5EF4-FFF2-40B4-BE49-F238E27FC236}">
              <a16:creationId xmlns:a16="http://schemas.microsoft.com/office/drawing/2014/main" id="{00000000-0008-0000-3200-00000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 name="Option Button 268">
          <a:extLst>
            <a:ext uri="{FF2B5EF4-FFF2-40B4-BE49-F238E27FC236}">
              <a16:creationId xmlns:a16="http://schemas.microsoft.com/office/drawing/2014/main" id="{00000000-0008-0000-3200-00000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 name="Option Button 269">
          <a:extLst>
            <a:ext uri="{FF2B5EF4-FFF2-40B4-BE49-F238E27FC236}">
              <a16:creationId xmlns:a16="http://schemas.microsoft.com/office/drawing/2014/main" id="{00000000-0008-0000-3200-00000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 name="Group Box 270" descr="Group Box 5">
          <a:extLst>
            <a:ext uri="{FF2B5EF4-FFF2-40B4-BE49-F238E27FC236}">
              <a16:creationId xmlns:a16="http://schemas.microsoft.com/office/drawing/2014/main" id="{00000000-0008-0000-3200-00000F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74</xdr:row>
      <xdr:rowOff>28440</xdr:rowOff>
    </xdr:from>
    <xdr:to>
      <xdr:col>7</xdr:col>
      <xdr:colOff>-363960</xdr:colOff>
      <xdr:row>75</xdr:row>
      <xdr:rowOff>0</xdr:rowOff>
    </xdr:to>
    <xdr:sp macro="" textlink="">
      <xdr:nvSpPr>
        <xdr:cNvPr id="272" name="Option Button 271">
          <a:extLst>
            <a:ext uri="{FF2B5EF4-FFF2-40B4-BE49-F238E27FC236}">
              <a16:creationId xmlns:a16="http://schemas.microsoft.com/office/drawing/2014/main" id="{00000000-0008-0000-3200-00001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 name="Option Button 272">
          <a:extLst>
            <a:ext uri="{FF2B5EF4-FFF2-40B4-BE49-F238E27FC236}">
              <a16:creationId xmlns:a16="http://schemas.microsoft.com/office/drawing/2014/main" id="{00000000-0008-0000-3200-00001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 name="Option Button 273">
          <a:extLst>
            <a:ext uri="{FF2B5EF4-FFF2-40B4-BE49-F238E27FC236}">
              <a16:creationId xmlns:a16="http://schemas.microsoft.com/office/drawing/2014/main" id="{00000000-0008-0000-3200-00001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 name="Option Button 274">
          <a:extLst>
            <a:ext uri="{FF2B5EF4-FFF2-40B4-BE49-F238E27FC236}">
              <a16:creationId xmlns:a16="http://schemas.microsoft.com/office/drawing/2014/main" id="{00000000-0008-0000-3200-00001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 name="Group Box 275" descr="Group Box 5">
          <a:extLst>
            <a:ext uri="{FF2B5EF4-FFF2-40B4-BE49-F238E27FC236}">
              <a16:creationId xmlns:a16="http://schemas.microsoft.com/office/drawing/2014/main" id="{00000000-0008-0000-3200-000014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75</xdr:row>
      <xdr:rowOff>28440</xdr:rowOff>
    </xdr:from>
    <xdr:to>
      <xdr:col>7</xdr:col>
      <xdr:colOff>-363960</xdr:colOff>
      <xdr:row>76</xdr:row>
      <xdr:rowOff>0</xdr:rowOff>
    </xdr:to>
    <xdr:sp macro="" textlink="">
      <xdr:nvSpPr>
        <xdr:cNvPr id="277" name="Option Button 276">
          <a:extLst>
            <a:ext uri="{FF2B5EF4-FFF2-40B4-BE49-F238E27FC236}">
              <a16:creationId xmlns:a16="http://schemas.microsoft.com/office/drawing/2014/main" id="{00000000-0008-0000-3200-00001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 name="Option Button 277">
          <a:extLst>
            <a:ext uri="{FF2B5EF4-FFF2-40B4-BE49-F238E27FC236}">
              <a16:creationId xmlns:a16="http://schemas.microsoft.com/office/drawing/2014/main" id="{00000000-0008-0000-3200-00001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 name="Option Button 278">
          <a:extLst>
            <a:ext uri="{FF2B5EF4-FFF2-40B4-BE49-F238E27FC236}">
              <a16:creationId xmlns:a16="http://schemas.microsoft.com/office/drawing/2014/main" id="{00000000-0008-0000-3200-00001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 name="Option Button 279">
          <a:extLst>
            <a:ext uri="{FF2B5EF4-FFF2-40B4-BE49-F238E27FC236}">
              <a16:creationId xmlns:a16="http://schemas.microsoft.com/office/drawing/2014/main" id="{00000000-0008-0000-3200-00001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 name="Group Box 280" descr="Group Box 5">
          <a:extLst>
            <a:ext uri="{FF2B5EF4-FFF2-40B4-BE49-F238E27FC236}">
              <a16:creationId xmlns:a16="http://schemas.microsoft.com/office/drawing/2014/main" id="{00000000-0008-0000-3200-000019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76</xdr:row>
      <xdr:rowOff>28440</xdr:rowOff>
    </xdr:from>
    <xdr:to>
      <xdr:col>7</xdr:col>
      <xdr:colOff>-363960</xdr:colOff>
      <xdr:row>77</xdr:row>
      <xdr:rowOff>0</xdr:rowOff>
    </xdr:to>
    <xdr:sp macro="" textlink="">
      <xdr:nvSpPr>
        <xdr:cNvPr id="282" name="Option Button 281">
          <a:extLst>
            <a:ext uri="{FF2B5EF4-FFF2-40B4-BE49-F238E27FC236}">
              <a16:creationId xmlns:a16="http://schemas.microsoft.com/office/drawing/2014/main" id="{00000000-0008-0000-3200-00001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 name="Option Button 282">
          <a:extLst>
            <a:ext uri="{FF2B5EF4-FFF2-40B4-BE49-F238E27FC236}">
              <a16:creationId xmlns:a16="http://schemas.microsoft.com/office/drawing/2014/main" id="{00000000-0008-0000-3200-00001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 name="Option Button 283">
          <a:extLst>
            <a:ext uri="{FF2B5EF4-FFF2-40B4-BE49-F238E27FC236}">
              <a16:creationId xmlns:a16="http://schemas.microsoft.com/office/drawing/2014/main" id="{00000000-0008-0000-3200-00001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 name="Option Button 284">
          <a:extLst>
            <a:ext uri="{FF2B5EF4-FFF2-40B4-BE49-F238E27FC236}">
              <a16:creationId xmlns:a16="http://schemas.microsoft.com/office/drawing/2014/main" id="{00000000-0008-0000-3200-00001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 name="Group Box 285" descr="Group Box 5">
          <a:extLst>
            <a:ext uri="{FF2B5EF4-FFF2-40B4-BE49-F238E27FC236}">
              <a16:creationId xmlns:a16="http://schemas.microsoft.com/office/drawing/2014/main" id="{00000000-0008-0000-3200-00001E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77</xdr:row>
      <xdr:rowOff>28440</xdr:rowOff>
    </xdr:from>
    <xdr:to>
      <xdr:col>7</xdr:col>
      <xdr:colOff>-363960</xdr:colOff>
      <xdr:row>78</xdr:row>
      <xdr:rowOff>0</xdr:rowOff>
    </xdr:to>
    <xdr:sp macro="" textlink="">
      <xdr:nvSpPr>
        <xdr:cNvPr id="287" name="Option Button 286">
          <a:extLst>
            <a:ext uri="{FF2B5EF4-FFF2-40B4-BE49-F238E27FC236}">
              <a16:creationId xmlns:a16="http://schemas.microsoft.com/office/drawing/2014/main" id="{00000000-0008-0000-3200-00001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 name="Option Button 287">
          <a:extLst>
            <a:ext uri="{FF2B5EF4-FFF2-40B4-BE49-F238E27FC236}">
              <a16:creationId xmlns:a16="http://schemas.microsoft.com/office/drawing/2014/main" id="{00000000-0008-0000-3200-00002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 name="Option Button 288">
          <a:extLst>
            <a:ext uri="{FF2B5EF4-FFF2-40B4-BE49-F238E27FC236}">
              <a16:creationId xmlns:a16="http://schemas.microsoft.com/office/drawing/2014/main" id="{00000000-0008-0000-3200-00002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 name="Option Button 289">
          <a:extLst>
            <a:ext uri="{FF2B5EF4-FFF2-40B4-BE49-F238E27FC236}">
              <a16:creationId xmlns:a16="http://schemas.microsoft.com/office/drawing/2014/main" id="{00000000-0008-0000-3200-00002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 name="Group Box 290" descr="Group Box 5">
          <a:extLst>
            <a:ext uri="{FF2B5EF4-FFF2-40B4-BE49-F238E27FC236}">
              <a16:creationId xmlns:a16="http://schemas.microsoft.com/office/drawing/2014/main" id="{00000000-0008-0000-3200-000023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78</xdr:row>
      <xdr:rowOff>28440</xdr:rowOff>
    </xdr:from>
    <xdr:to>
      <xdr:col>7</xdr:col>
      <xdr:colOff>-363960</xdr:colOff>
      <xdr:row>79</xdr:row>
      <xdr:rowOff>0</xdr:rowOff>
    </xdr:to>
    <xdr:sp macro="" textlink="">
      <xdr:nvSpPr>
        <xdr:cNvPr id="292" name="Option Button 291">
          <a:extLst>
            <a:ext uri="{FF2B5EF4-FFF2-40B4-BE49-F238E27FC236}">
              <a16:creationId xmlns:a16="http://schemas.microsoft.com/office/drawing/2014/main" id="{00000000-0008-0000-3200-00002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 name="Option Button 292">
          <a:extLst>
            <a:ext uri="{FF2B5EF4-FFF2-40B4-BE49-F238E27FC236}">
              <a16:creationId xmlns:a16="http://schemas.microsoft.com/office/drawing/2014/main" id="{00000000-0008-0000-3200-00002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 name="Option Button 293">
          <a:extLst>
            <a:ext uri="{FF2B5EF4-FFF2-40B4-BE49-F238E27FC236}">
              <a16:creationId xmlns:a16="http://schemas.microsoft.com/office/drawing/2014/main" id="{00000000-0008-0000-3200-00002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 name="Option Button 294">
          <a:extLst>
            <a:ext uri="{FF2B5EF4-FFF2-40B4-BE49-F238E27FC236}">
              <a16:creationId xmlns:a16="http://schemas.microsoft.com/office/drawing/2014/main" id="{00000000-0008-0000-3200-00002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 name="Group Box 295" descr="Group Box 5">
          <a:extLst>
            <a:ext uri="{FF2B5EF4-FFF2-40B4-BE49-F238E27FC236}">
              <a16:creationId xmlns:a16="http://schemas.microsoft.com/office/drawing/2014/main" id="{00000000-0008-0000-3200-000028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79</xdr:row>
      <xdr:rowOff>28440</xdr:rowOff>
    </xdr:from>
    <xdr:to>
      <xdr:col>7</xdr:col>
      <xdr:colOff>-363960</xdr:colOff>
      <xdr:row>80</xdr:row>
      <xdr:rowOff>0</xdr:rowOff>
    </xdr:to>
    <xdr:sp macro="" textlink="">
      <xdr:nvSpPr>
        <xdr:cNvPr id="297" name="Option Button 296">
          <a:extLst>
            <a:ext uri="{FF2B5EF4-FFF2-40B4-BE49-F238E27FC236}">
              <a16:creationId xmlns:a16="http://schemas.microsoft.com/office/drawing/2014/main" id="{00000000-0008-0000-3200-00002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 name="Option Button 297">
          <a:extLst>
            <a:ext uri="{FF2B5EF4-FFF2-40B4-BE49-F238E27FC236}">
              <a16:creationId xmlns:a16="http://schemas.microsoft.com/office/drawing/2014/main" id="{00000000-0008-0000-3200-00002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 name="Option Button 298">
          <a:extLst>
            <a:ext uri="{FF2B5EF4-FFF2-40B4-BE49-F238E27FC236}">
              <a16:creationId xmlns:a16="http://schemas.microsoft.com/office/drawing/2014/main" id="{00000000-0008-0000-3200-00002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 name="Option Button 299">
          <a:extLst>
            <a:ext uri="{FF2B5EF4-FFF2-40B4-BE49-F238E27FC236}">
              <a16:creationId xmlns:a16="http://schemas.microsoft.com/office/drawing/2014/main" id="{00000000-0008-0000-3200-00002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 name="Group Box 300" descr="Group Box 5">
          <a:extLst>
            <a:ext uri="{FF2B5EF4-FFF2-40B4-BE49-F238E27FC236}">
              <a16:creationId xmlns:a16="http://schemas.microsoft.com/office/drawing/2014/main" id="{00000000-0008-0000-3200-00002D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80</xdr:row>
      <xdr:rowOff>28440</xdr:rowOff>
    </xdr:from>
    <xdr:to>
      <xdr:col>7</xdr:col>
      <xdr:colOff>-363960</xdr:colOff>
      <xdr:row>81</xdr:row>
      <xdr:rowOff>0</xdr:rowOff>
    </xdr:to>
    <xdr:sp macro="" textlink="">
      <xdr:nvSpPr>
        <xdr:cNvPr id="302" name="Option Button 301">
          <a:extLst>
            <a:ext uri="{FF2B5EF4-FFF2-40B4-BE49-F238E27FC236}">
              <a16:creationId xmlns:a16="http://schemas.microsoft.com/office/drawing/2014/main" id="{00000000-0008-0000-3200-00002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 name="Option Button 302">
          <a:extLst>
            <a:ext uri="{FF2B5EF4-FFF2-40B4-BE49-F238E27FC236}">
              <a16:creationId xmlns:a16="http://schemas.microsoft.com/office/drawing/2014/main" id="{00000000-0008-0000-3200-00002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 name="Option Button 303">
          <a:extLst>
            <a:ext uri="{FF2B5EF4-FFF2-40B4-BE49-F238E27FC236}">
              <a16:creationId xmlns:a16="http://schemas.microsoft.com/office/drawing/2014/main" id="{00000000-0008-0000-3200-00003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 name="Option Button 304">
          <a:extLst>
            <a:ext uri="{FF2B5EF4-FFF2-40B4-BE49-F238E27FC236}">
              <a16:creationId xmlns:a16="http://schemas.microsoft.com/office/drawing/2014/main" id="{00000000-0008-0000-3200-00003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 name="Group Box 305" descr="Group Box 5">
          <a:extLst>
            <a:ext uri="{FF2B5EF4-FFF2-40B4-BE49-F238E27FC236}">
              <a16:creationId xmlns:a16="http://schemas.microsoft.com/office/drawing/2014/main" id="{00000000-0008-0000-3200-000032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81</xdr:row>
      <xdr:rowOff>28440</xdr:rowOff>
    </xdr:from>
    <xdr:to>
      <xdr:col>7</xdr:col>
      <xdr:colOff>-363960</xdr:colOff>
      <xdr:row>82</xdr:row>
      <xdr:rowOff>0</xdr:rowOff>
    </xdr:to>
    <xdr:sp macro="" textlink="">
      <xdr:nvSpPr>
        <xdr:cNvPr id="307" name="Option Button 306">
          <a:extLst>
            <a:ext uri="{FF2B5EF4-FFF2-40B4-BE49-F238E27FC236}">
              <a16:creationId xmlns:a16="http://schemas.microsoft.com/office/drawing/2014/main" id="{00000000-0008-0000-3200-00003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 name="Option Button 307">
          <a:extLst>
            <a:ext uri="{FF2B5EF4-FFF2-40B4-BE49-F238E27FC236}">
              <a16:creationId xmlns:a16="http://schemas.microsoft.com/office/drawing/2014/main" id="{00000000-0008-0000-3200-00003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 name="Option Button 308">
          <a:extLst>
            <a:ext uri="{FF2B5EF4-FFF2-40B4-BE49-F238E27FC236}">
              <a16:creationId xmlns:a16="http://schemas.microsoft.com/office/drawing/2014/main" id="{00000000-0008-0000-3200-00003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 name="Option Button 309">
          <a:extLst>
            <a:ext uri="{FF2B5EF4-FFF2-40B4-BE49-F238E27FC236}">
              <a16:creationId xmlns:a16="http://schemas.microsoft.com/office/drawing/2014/main" id="{00000000-0008-0000-3200-00003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 name="Group Box 310" descr="Group Box 5">
          <a:extLst>
            <a:ext uri="{FF2B5EF4-FFF2-40B4-BE49-F238E27FC236}">
              <a16:creationId xmlns:a16="http://schemas.microsoft.com/office/drawing/2014/main" id="{00000000-0008-0000-3200-000037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82</xdr:row>
      <xdr:rowOff>28440</xdr:rowOff>
    </xdr:from>
    <xdr:to>
      <xdr:col>7</xdr:col>
      <xdr:colOff>-363960</xdr:colOff>
      <xdr:row>83</xdr:row>
      <xdr:rowOff>0</xdr:rowOff>
    </xdr:to>
    <xdr:sp macro="" textlink="">
      <xdr:nvSpPr>
        <xdr:cNvPr id="312" name="Option Button 311">
          <a:extLst>
            <a:ext uri="{FF2B5EF4-FFF2-40B4-BE49-F238E27FC236}">
              <a16:creationId xmlns:a16="http://schemas.microsoft.com/office/drawing/2014/main" id="{00000000-0008-0000-3200-00003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 name="Option Button 312">
          <a:extLst>
            <a:ext uri="{FF2B5EF4-FFF2-40B4-BE49-F238E27FC236}">
              <a16:creationId xmlns:a16="http://schemas.microsoft.com/office/drawing/2014/main" id="{00000000-0008-0000-3200-00003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 name="Option Button 313">
          <a:extLst>
            <a:ext uri="{FF2B5EF4-FFF2-40B4-BE49-F238E27FC236}">
              <a16:creationId xmlns:a16="http://schemas.microsoft.com/office/drawing/2014/main" id="{00000000-0008-0000-3200-00003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 name="Option Button 314">
          <a:extLst>
            <a:ext uri="{FF2B5EF4-FFF2-40B4-BE49-F238E27FC236}">
              <a16:creationId xmlns:a16="http://schemas.microsoft.com/office/drawing/2014/main" id="{00000000-0008-0000-3200-00003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 name="Group Box 315" descr="Group Box 5">
          <a:extLst>
            <a:ext uri="{FF2B5EF4-FFF2-40B4-BE49-F238E27FC236}">
              <a16:creationId xmlns:a16="http://schemas.microsoft.com/office/drawing/2014/main" id="{00000000-0008-0000-3200-00003C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83</xdr:row>
      <xdr:rowOff>28440</xdr:rowOff>
    </xdr:from>
    <xdr:to>
      <xdr:col>7</xdr:col>
      <xdr:colOff>-363960</xdr:colOff>
      <xdr:row>84</xdr:row>
      <xdr:rowOff>0</xdr:rowOff>
    </xdr:to>
    <xdr:sp macro="" textlink="">
      <xdr:nvSpPr>
        <xdr:cNvPr id="317" name="Option Button 316">
          <a:extLst>
            <a:ext uri="{FF2B5EF4-FFF2-40B4-BE49-F238E27FC236}">
              <a16:creationId xmlns:a16="http://schemas.microsoft.com/office/drawing/2014/main" id="{00000000-0008-0000-3200-00003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 name="Option Button 317">
          <a:extLst>
            <a:ext uri="{FF2B5EF4-FFF2-40B4-BE49-F238E27FC236}">
              <a16:creationId xmlns:a16="http://schemas.microsoft.com/office/drawing/2014/main" id="{00000000-0008-0000-3200-00003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 name="Option Button 318">
          <a:extLst>
            <a:ext uri="{FF2B5EF4-FFF2-40B4-BE49-F238E27FC236}">
              <a16:creationId xmlns:a16="http://schemas.microsoft.com/office/drawing/2014/main" id="{00000000-0008-0000-3200-00003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 name="Option Button 319">
          <a:extLst>
            <a:ext uri="{FF2B5EF4-FFF2-40B4-BE49-F238E27FC236}">
              <a16:creationId xmlns:a16="http://schemas.microsoft.com/office/drawing/2014/main" id="{00000000-0008-0000-3200-00004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 name="Group Box 320" descr="Group Box 5">
          <a:extLst>
            <a:ext uri="{FF2B5EF4-FFF2-40B4-BE49-F238E27FC236}">
              <a16:creationId xmlns:a16="http://schemas.microsoft.com/office/drawing/2014/main" id="{00000000-0008-0000-3200-000041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84</xdr:row>
      <xdr:rowOff>28440</xdr:rowOff>
    </xdr:from>
    <xdr:to>
      <xdr:col>7</xdr:col>
      <xdr:colOff>-363960</xdr:colOff>
      <xdr:row>85</xdr:row>
      <xdr:rowOff>0</xdr:rowOff>
    </xdr:to>
    <xdr:sp macro="" textlink="">
      <xdr:nvSpPr>
        <xdr:cNvPr id="322" name="Option Button 321">
          <a:extLst>
            <a:ext uri="{FF2B5EF4-FFF2-40B4-BE49-F238E27FC236}">
              <a16:creationId xmlns:a16="http://schemas.microsoft.com/office/drawing/2014/main" id="{00000000-0008-0000-3200-00004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 name="Option Button 322">
          <a:extLst>
            <a:ext uri="{FF2B5EF4-FFF2-40B4-BE49-F238E27FC236}">
              <a16:creationId xmlns:a16="http://schemas.microsoft.com/office/drawing/2014/main" id="{00000000-0008-0000-3200-00004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 name="Option Button 323">
          <a:extLst>
            <a:ext uri="{FF2B5EF4-FFF2-40B4-BE49-F238E27FC236}">
              <a16:creationId xmlns:a16="http://schemas.microsoft.com/office/drawing/2014/main" id="{00000000-0008-0000-3200-00004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 name="Option Button 324">
          <a:extLst>
            <a:ext uri="{FF2B5EF4-FFF2-40B4-BE49-F238E27FC236}">
              <a16:creationId xmlns:a16="http://schemas.microsoft.com/office/drawing/2014/main" id="{00000000-0008-0000-3200-00004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 name="Group Box 325" descr="Group Box 5">
          <a:extLst>
            <a:ext uri="{FF2B5EF4-FFF2-40B4-BE49-F238E27FC236}">
              <a16:creationId xmlns:a16="http://schemas.microsoft.com/office/drawing/2014/main" id="{00000000-0008-0000-3200-000046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85</xdr:row>
      <xdr:rowOff>28440</xdr:rowOff>
    </xdr:from>
    <xdr:to>
      <xdr:col>7</xdr:col>
      <xdr:colOff>-363960</xdr:colOff>
      <xdr:row>86</xdr:row>
      <xdr:rowOff>0</xdr:rowOff>
    </xdr:to>
    <xdr:sp macro="" textlink="">
      <xdr:nvSpPr>
        <xdr:cNvPr id="327" name="Option Button 326">
          <a:extLst>
            <a:ext uri="{FF2B5EF4-FFF2-40B4-BE49-F238E27FC236}">
              <a16:creationId xmlns:a16="http://schemas.microsoft.com/office/drawing/2014/main" id="{00000000-0008-0000-3200-00004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 name="Option Button 327">
          <a:extLst>
            <a:ext uri="{FF2B5EF4-FFF2-40B4-BE49-F238E27FC236}">
              <a16:creationId xmlns:a16="http://schemas.microsoft.com/office/drawing/2014/main" id="{00000000-0008-0000-3200-00004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 name="Option Button 328">
          <a:extLst>
            <a:ext uri="{FF2B5EF4-FFF2-40B4-BE49-F238E27FC236}">
              <a16:creationId xmlns:a16="http://schemas.microsoft.com/office/drawing/2014/main" id="{00000000-0008-0000-3200-00004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 name="Option Button 329">
          <a:extLst>
            <a:ext uri="{FF2B5EF4-FFF2-40B4-BE49-F238E27FC236}">
              <a16:creationId xmlns:a16="http://schemas.microsoft.com/office/drawing/2014/main" id="{00000000-0008-0000-3200-00004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 name="Group Box 330" descr="Group Box 5">
          <a:extLst>
            <a:ext uri="{FF2B5EF4-FFF2-40B4-BE49-F238E27FC236}">
              <a16:creationId xmlns:a16="http://schemas.microsoft.com/office/drawing/2014/main" id="{00000000-0008-0000-3200-00004B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86</xdr:row>
      <xdr:rowOff>28440</xdr:rowOff>
    </xdr:from>
    <xdr:to>
      <xdr:col>7</xdr:col>
      <xdr:colOff>-363960</xdr:colOff>
      <xdr:row>87</xdr:row>
      <xdr:rowOff>0</xdr:rowOff>
    </xdr:to>
    <xdr:sp macro="" textlink="">
      <xdr:nvSpPr>
        <xdr:cNvPr id="332" name="Option Button 331">
          <a:extLst>
            <a:ext uri="{FF2B5EF4-FFF2-40B4-BE49-F238E27FC236}">
              <a16:creationId xmlns:a16="http://schemas.microsoft.com/office/drawing/2014/main" id="{00000000-0008-0000-3200-00004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 name="Option Button 332">
          <a:extLst>
            <a:ext uri="{FF2B5EF4-FFF2-40B4-BE49-F238E27FC236}">
              <a16:creationId xmlns:a16="http://schemas.microsoft.com/office/drawing/2014/main" id="{00000000-0008-0000-3200-00004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 name="Option Button 333">
          <a:extLst>
            <a:ext uri="{FF2B5EF4-FFF2-40B4-BE49-F238E27FC236}">
              <a16:creationId xmlns:a16="http://schemas.microsoft.com/office/drawing/2014/main" id="{00000000-0008-0000-3200-00004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 name="Option Button 334">
          <a:extLst>
            <a:ext uri="{FF2B5EF4-FFF2-40B4-BE49-F238E27FC236}">
              <a16:creationId xmlns:a16="http://schemas.microsoft.com/office/drawing/2014/main" id="{00000000-0008-0000-3200-00004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 name="Group Box 335" descr="Group Box 5">
          <a:extLst>
            <a:ext uri="{FF2B5EF4-FFF2-40B4-BE49-F238E27FC236}">
              <a16:creationId xmlns:a16="http://schemas.microsoft.com/office/drawing/2014/main" id="{00000000-0008-0000-3200-000050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87</xdr:row>
      <xdr:rowOff>28440</xdr:rowOff>
    </xdr:from>
    <xdr:to>
      <xdr:col>7</xdr:col>
      <xdr:colOff>-363960</xdr:colOff>
      <xdr:row>88</xdr:row>
      <xdr:rowOff>0</xdr:rowOff>
    </xdr:to>
    <xdr:sp macro="" textlink="">
      <xdr:nvSpPr>
        <xdr:cNvPr id="337" name="Option Button 336">
          <a:extLst>
            <a:ext uri="{FF2B5EF4-FFF2-40B4-BE49-F238E27FC236}">
              <a16:creationId xmlns:a16="http://schemas.microsoft.com/office/drawing/2014/main" id="{00000000-0008-0000-3200-00005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 name="Option Button 337">
          <a:extLst>
            <a:ext uri="{FF2B5EF4-FFF2-40B4-BE49-F238E27FC236}">
              <a16:creationId xmlns:a16="http://schemas.microsoft.com/office/drawing/2014/main" id="{00000000-0008-0000-3200-00005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 name="Option Button 338">
          <a:extLst>
            <a:ext uri="{FF2B5EF4-FFF2-40B4-BE49-F238E27FC236}">
              <a16:creationId xmlns:a16="http://schemas.microsoft.com/office/drawing/2014/main" id="{00000000-0008-0000-3200-00005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 name="Option Button 339">
          <a:extLst>
            <a:ext uri="{FF2B5EF4-FFF2-40B4-BE49-F238E27FC236}">
              <a16:creationId xmlns:a16="http://schemas.microsoft.com/office/drawing/2014/main" id="{00000000-0008-0000-3200-00005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 name="Group Box 340" descr="Group Box 5">
          <a:extLst>
            <a:ext uri="{FF2B5EF4-FFF2-40B4-BE49-F238E27FC236}">
              <a16:creationId xmlns:a16="http://schemas.microsoft.com/office/drawing/2014/main" id="{00000000-0008-0000-3200-000055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88</xdr:row>
      <xdr:rowOff>28440</xdr:rowOff>
    </xdr:from>
    <xdr:to>
      <xdr:col>7</xdr:col>
      <xdr:colOff>-363960</xdr:colOff>
      <xdr:row>89</xdr:row>
      <xdr:rowOff>0</xdr:rowOff>
    </xdr:to>
    <xdr:sp macro="" textlink="">
      <xdr:nvSpPr>
        <xdr:cNvPr id="342" name="Option Button 341">
          <a:extLst>
            <a:ext uri="{FF2B5EF4-FFF2-40B4-BE49-F238E27FC236}">
              <a16:creationId xmlns:a16="http://schemas.microsoft.com/office/drawing/2014/main" id="{00000000-0008-0000-3200-00005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 name="Option Button 342">
          <a:extLst>
            <a:ext uri="{FF2B5EF4-FFF2-40B4-BE49-F238E27FC236}">
              <a16:creationId xmlns:a16="http://schemas.microsoft.com/office/drawing/2014/main" id="{00000000-0008-0000-3200-00005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 name="Option Button 343">
          <a:extLst>
            <a:ext uri="{FF2B5EF4-FFF2-40B4-BE49-F238E27FC236}">
              <a16:creationId xmlns:a16="http://schemas.microsoft.com/office/drawing/2014/main" id="{00000000-0008-0000-3200-00005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 name="Option Button 344">
          <a:extLst>
            <a:ext uri="{FF2B5EF4-FFF2-40B4-BE49-F238E27FC236}">
              <a16:creationId xmlns:a16="http://schemas.microsoft.com/office/drawing/2014/main" id="{00000000-0008-0000-3200-00005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 name="Group Box 345" descr="Group Box 5">
          <a:extLst>
            <a:ext uri="{FF2B5EF4-FFF2-40B4-BE49-F238E27FC236}">
              <a16:creationId xmlns:a16="http://schemas.microsoft.com/office/drawing/2014/main" id="{00000000-0008-0000-3200-00005A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89</xdr:row>
      <xdr:rowOff>28440</xdr:rowOff>
    </xdr:from>
    <xdr:to>
      <xdr:col>7</xdr:col>
      <xdr:colOff>-363960</xdr:colOff>
      <xdr:row>90</xdr:row>
      <xdr:rowOff>0</xdr:rowOff>
    </xdr:to>
    <xdr:sp macro="" textlink="">
      <xdr:nvSpPr>
        <xdr:cNvPr id="347" name="Option Button 346">
          <a:extLst>
            <a:ext uri="{FF2B5EF4-FFF2-40B4-BE49-F238E27FC236}">
              <a16:creationId xmlns:a16="http://schemas.microsoft.com/office/drawing/2014/main" id="{00000000-0008-0000-3200-00005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 name="Option Button 347">
          <a:extLst>
            <a:ext uri="{FF2B5EF4-FFF2-40B4-BE49-F238E27FC236}">
              <a16:creationId xmlns:a16="http://schemas.microsoft.com/office/drawing/2014/main" id="{00000000-0008-0000-3200-00005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 name="Option Button 348">
          <a:extLst>
            <a:ext uri="{FF2B5EF4-FFF2-40B4-BE49-F238E27FC236}">
              <a16:creationId xmlns:a16="http://schemas.microsoft.com/office/drawing/2014/main" id="{00000000-0008-0000-3200-00005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0" name="Option Button 349">
          <a:extLst>
            <a:ext uri="{FF2B5EF4-FFF2-40B4-BE49-F238E27FC236}">
              <a16:creationId xmlns:a16="http://schemas.microsoft.com/office/drawing/2014/main" id="{00000000-0008-0000-3200-00005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1" name="Group Box 350" descr="Group Box 5">
          <a:extLst>
            <a:ext uri="{FF2B5EF4-FFF2-40B4-BE49-F238E27FC236}">
              <a16:creationId xmlns:a16="http://schemas.microsoft.com/office/drawing/2014/main" id="{00000000-0008-0000-3200-00005F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90</xdr:row>
      <xdr:rowOff>28440</xdr:rowOff>
    </xdr:from>
    <xdr:to>
      <xdr:col>7</xdr:col>
      <xdr:colOff>-363960</xdr:colOff>
      <xdr:row>91</xdr:row>
      <xdr:rowOff>0</xdr:rowOff>
    </xdr:to>
    <xdr:sp macro="" textlink="">
      <xdr:nvSpPr>
        <xdr:cNvPr id="352" name="Option Button 351">
          <a:extLst>
            <a:ext uri="{FF2B5EF4-FFF2-40B4-BE49-F238E27FC236}">
              <a16:creationId xmlns:a16="http://schemas.microsoft.com/office/drawing/2014/main" id="{00000000-0008-0000-3200-00006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3" name="Option Button 352">
          <a:extLst>
            <a:ext uri="{FF2B5EF4-FFF2-40B4-BE49-F238E27FC236}">
              <a16:creationId xmlns:a16="http://schemas.microsoft.com/office/drawing/2014/main" id="{00000000-0008-0000-3200-00006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4" name="Option Button 353">
          <a:extLst>
            <a:ext uri="{FF2B5EF4-FFF2-40B4-BE49-F238E27FC236}">
              <a16:creationId xmlns:a16="http://schemas.microsoft.com/office/drawing/2014/main" id="{00000000-0008-0000-3200-00006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5" name="Option Button 354">
          <a:extLst>
            <a:ext uri="{FF2B5EF4-FFF2-40B4-BE49-F238E27FC236}">
              <a16:creationId xmlns:a16="http://schemas.microsoft.com/office/drawing/2014/main" id="{00000000-0008-0000-3200-00006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6" name="Group Box 355" descr="Group Box 5">
          <a:extLst>
            <a:ext uri="{FF2B5EF4-FFF2-40B4-BE49-F238E27FC236}">
              <a16:creationId xmlns:a16="http://schemas.microsoft.com/office/drawing/2014/main" id="{00000000-0008-0000-3200-000064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91</xdr:row>
      <xdr:rowOff>28440</xdr:rowOff>
    </xdr:from>
    <xdr:to>
      <xdr:col>7</xdr:col>
      <xdr:colOff>-363960</xdr:colOff>
      <xdr:row>92</xdr:row>
      <xdr:rowOff>0</xdr:rowOff>
    </xdr:to>
    <xdr:sp macro="" textlink="">
      <xdr:nvSpPr>
        <xdr:cNvPr id="357" name="Option Button 356">
          <a:extLst>
            <a:ext uri="{FF2B5EF4-FFF2-40B4-BE49-F238E27FC236}">
              <a16:creationId xmlns:a16="http://schemas.microsoft.com/office/drawing/2014/main" id="{00000000-0008-0000-3200-00006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8" name="Option Button 357">
          <a:extLst>
            <a:ext uri="{FF2B5EF4-FFF2-40B4-BE49-F238E27FC236}">
              <a16:creationId xmlns:a16="http://schemas.microsoft.com/office/drawing/2014/main" id="{00000000-0008-0000-3200-00006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9" name="Option Button 358">
          <a:extLst>
            <a:ext uri="{FF2B5EF4-FFF2-40B4-BE49-F238E27FC236}">
              <a16:creationId xmlns:a16="http://schemas.microsoft.com/office/drawing/2014/main" id="{00000000-0008-0000-3200-00006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0" name="Option Button 359">
          <a:extLst>
            <a:ext uri="{FF2B5EF4-FFF2-40B4-BE49-F238E27FC236}">
              <a16:creationId xmlns:a16="http://schemas.microsoft.com/office/drawing/2014/main" id="{00000000-0008-0000-3200-00006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1" name="Group Box 360" descr="Group Box 5">
          <a:extLst>
            <a:ext uri="{FF2B5EF4-FFF2-40B4-BE49-F238E27FC236}">
              <a16:creationId xmlns:a16="http://schemas.microsoft.com/office/drawing/2014/main" id="{00000000-0008-0000-3200-000069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92</xdr:row>
      <xdr:rowOff>28440</xdr:rowOff>
    </xdr:from>
    <xdr:to>
      <xdr:col>7</xdr:col>
      <xdr:colOff>-363960</xdr:colOff>
      <xdr:row>93</xdr:row>
      <xdr:rowOff>0</xdr:rowOff>
    </xdr:to>
    <xdr:sp macro="" textlink="">
      <xdr:nvSpPr>
        <xdr:cNvPr id="362" name="Option Button 361">
          <a:extLst>
            <a:ext uri="{FF2B5EF4-FFF2-40B4-BE49-F238E27FC236}">
              <a16:creationId xmlns:a16="http://schemas.microsoft.com/office/drawing/2014/main" id="{00000000-0008-0000-3200-00006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3" name="Option Button 362">
          <a:extLst>
            <a:ext uri="{FF2B5EF4-FFF2-40B4-BE49-F238E27FC236}">
              <a16:creationId xmlns:a16="http://schemas.microsoft.com/office/drawing/2014/main" id="{00000000-0008-0000-3200-00006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4" name="Option Button 363">
          <a:extLst>
            <a:ext uri="{FF2B5EF4-FFF2-40B4-BE49-F238E27FC236}">
              <a16:creationId xmlns:a16="http://schemas.microsoft.com/office/drawing/2014/main" id="{00000000-0008-0000-3200-00006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5" name="Option Button 364">
          <a:extLst>
            <a:ext uri="{FF2B5EF4-FFF2-40B4-BE49-F238E27FC236}">
              <a16:creationId xmlns:a16="http://schemas.microsoft.com/office/drawing/2014/main" id="{00000000-0008-0000-3200-00006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6" name="Group Box 365" descr="Group Box 5">
          <a:extLst>
            <a:ext uri="{FF2B5EF4-FFF2-40B4-BE49-F238E27FC236}">
              <a16:creationId xmlns:a16="http://schemas.microsoft.com/office/drawing/2014/main" id="{00000000-0008-0000-3200-00006E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93</xdr:row>
      <xdr:rowOff>28440</xdr:rowOff>
    </xdr:from>
    <xdr:to>
      <xdr:col>7</xdr:col>
      <xdr:colOff>-363960</xdr:colOff>
      <xdr:row>94</xdr:row>
      <xdr:rowOff>0</xdr:rowOff>
    </xdr:to>
    <xdr:sp macro="" textlink="">
      <xdr:nvSpPr>
        <xdr:cNvPr id="367" name="Option Button 366">
          <a:extLst>
            <a:ext uri="{FF2B5EF4-FFF2-40B4-BE49-F238E27FC236}">
              <a16:creationId xmlns:a16="http://schemas.microsoft.com/office/drawing/2014/main" id="{00000000-0008-0000-3200-00006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8" name="Option Button 367">
          <a:extLst>
            <a:ext uri="{FF2B5EF4-FFF2-40B4-BE49-F238E27FC236}">
              <a16:creationId xmlns:a16="http://schemas.microsoft.com/office/drawing/2014/main" id="{00000000-0008-0000-3200-00007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9" name="Option Button 368">
          <a:extLst>
            <a:ext uri="{FF2B5EF4-FFF2-40B4-BE49-F238E27FC236}">
              <a16:creationId xmlns:a16="http://schemas.microsoft.com/office/drawing/2014/main" id="{00000000-0008-0000-3200-00007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0" name="Option Button 369">
          <a:extLst>
            <a:ext uri="{FF2B5EF4-FFF2-40B4-BE49-F238E27FC236}">
              <a16:creationId xmlns:a16="http://schemas.microsoft.com/office/drawing/2014/main" id="{00000000-0008-0000-3200-00007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1" name="Group Box 370" descr="Group Box 5">
          <a:extLst>
            <a:ext uri="{FF2B5EF4-FFF2-40B4-BE49-F238E27FC236}">
              <a16:creationId xmlns:a16="http://schemas.microsoft.com/office/drawing/2014/main" id="{00000000-0008-0000-3200-000073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94</xdr:row>
      <xdr:rowOff>28440</xdr:rowOff>
    </xdr:from>
    <xdr:to>
      <xdr:col>7</xdr:col>
      <xdr:colOff>-363960</xdr:colOff>
      <xdr:row>95</xdr:row>
      <xdr:rowOff>0</xdr:rowOff>
    </xdr:to>
    <xdr:sp macro="" textlink="">
      <xdr:nvSpPr>
        <xdr:cNvPr id="372" name="Option Button 371">
          <a:extLst>
            <a:ext uri="{FF2B5EF4-FFF2-40B4-BE49-F238E27FC236}">
              <a16:creationId xmlns:a16="http://schemas.microsoft.com/office/drawing/2014/main" id="{00000000-0008-0000-3200-00007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3" name="Option Button 372">
          <a:extLst>
            <a:ext uri="{FF2B5EF4-FFF2-40B4-BE49-F238E27FC236}">
              <a16:creationId xmlns:a16="http://schemas.microsoft.com/office/drawing/2014/main" id="{00000000-0008-0000-3200-00007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4" name="Option Button 373">
          <a:extLst>
            <a:ext uri="{FF2B5EF4-FFF2-40B4-BE49-F238E27FC236}">
              <a16:creationId xmlns:a16="http://schemas.microsoft.com/office/drawing/2014/main" id="{00000000-0008-0000-3200-00007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5" name="Option Button 374">
          <a:extLst>
            <a:ext uri="{FF2B5EF4-FFF2-40B4-BE49-F238E27FC236}">
              <a16:creationId xmlns:a16="http://schemas.microsoft.com/office/drawing/2014/main" id="{00000000-0008-0000-3200-00007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6" name="Group Box 375" descr="Group Box 5">
          <a:extLst>
            <a:ext uri="{FF2B5EF4-FFF2-40B4-BE49-F238E27FC236}">
              <a16:creationId xmlns:a16="http://schemas.microsoft.com/office/drawing/2014/main" id="{00000000-0008-0000-3200-000078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95</xdr:row>
      <xdr:rowOff>28440</xdr:rowOff>
    </xdr:from>
    <xdr:to>
      <xdr:col>7</xdr:col>
      <xdr:colOff>-363960</xdr:colOff>
      <xdr:row>96</xdr:row>
      <xdr:rowOff>0</xdr:rowOff>
    </xdr:to>
    <xdr:sp macro="" textlink="">
      <xdr:nvSpPr>
        <xdr:cNvPr id="377" name="Option Button 376">
          <a:extLst>
            <a:ext uri="{FF2B5EF4-FFF2-40B4-BE49-F238E27FC236}">
              <a16:creationId xmlns:a16="http://schemas.microsoft.com/office/drawing/2014/main" id="{00000000-0008-0000-3200-00007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8" name="Option Button 377">
          <a:extLst>
            <a:ext uri="{FF2B5EF4-FFF2-40B4-BE49-F238E27FC236}">
              <a16:creationId xmlns:a16="http://schemas.microsoft.com/office/drawing/2014/main" id="{00000000-0008-0000-3200-00007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9" name="Option Button 378">
          <a:extLst>
            <a:ext uri="{FF2B5EF4-FFF2-40B4-BE49-F238E27FC236}">
              <a16:creationId xmlns:a16="http://schemas.microsoft.com/office/drawing/2014/main" id="{00000000-0008-0000-3200-00007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0" name="Option Button 379">
          <a:extLst>
            <a:ext uri="{FF2B5EF4-FFF2-40B4-BE49-F238E27FC236}">
              <a16:creationId xmlns:a16="http://schemas.microsoft.com/office/drawing/2014/main" id="{00000000-0008-0000-3200-00007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1" name="Group Box 380" descr="Group Box 5">
          <a:extLst>
            <a:ext uri="{FF2B5EF4-FFF2-40B4-BE49-F238E27FC236}">
              <a16:creationId xmlns:a16="http://schemas.microsoft.com/office/drawing/2014/main" id="{00000000-0008-0000-3200-00007D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96</xdr:row>
      <xdr:rowOff>28440</xdr:rowOff>
    </xdr:from>
    <xdr:to>
      <xdr:col>7</xdr:col>
      <xdr:colOff>-363960</xdr:colOff>
      <xdr:row>97</xdr:row>
      <xdr:rowOff>0</xdr:rowOff>
    </xdr:to>
    <xdr:sp macro="" textlink="">
      <xdr:nvSpPr>
        <xdr:cNvPr id="382" name="Option Button 381">
          <a:extLst>
            <a:ext uri="{FF2B5EF4-FFF2-40B4-BE49-F238E27FC236}">
              <a16:creationId xmlns:a16="http://schemas.microsoft.com/office/drawing/2014/main" id="{00000000-0008-0000-3200-00007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3" name="Option Button 382">
          <a:extLst>
            <a:ext uri="{FF2B5EF4-FFF2-40B4-BE49-F238E27FC236}">
              <a16:creationId xmlns:a16="http://schemas.microsoft.com/office/drawing/2014/main" id="{00000000-0008-0000-3200-00007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4" name="Option Button 383">
          <a:extLst>
            <a:ext uri="{FF2B5EF4-FFF2-40B4-BE49-F238E27FC236}">
              <a16:creationId xmlns:a16="http://schemas.microsoft.com/office/drawing/2014/main" id="{00000000-0008-0000-3200-00008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5" name="Option Button 384">
          <a:extLst>
            <a:ext uri="{FF2B5EF4-FFF2-40B4-BE49-F238E27FC236}">
              <a16:creationId xmlns:a16="http://schemas.microsoft.com/office/drawing/2014/main" id="{00000000-0008-0000-3200-00008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6" name="Group Box 385" descr="Group Box 5">
          <a:extLst>
            <a:ext uri="{FF2B5EF4-FFF2-40B4-BE49-F238E27FC236}">
              <a16:creationId xmlns:a16="http://schemas.microsoft.com/office/drawing/2014/main" id="{00000000-0008-0000-3200-000082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97</xdr:row>
      <xdr:rowOff>28440</xdr:rowOff>
    </xdr:from>
    <xdr:to>
      <xdr:col>7</xdr:col>
      <xdr:colOff>-363960</xdr:colOff>
      <xdr:row>98</xdr:row>
      <xdr:rowOff>0</xdr:rowOff>
    </xdr:to>
    <xdr:sp macro="" textlink="">
      <xdr:nvSpPr>
        <xdr:cNvPr id="387" name="Option Button 386">
          <a:extLst>
            <a:ext uri="{FF2B5EF4-FFF2-40B4-BE49-F238E27FC236}">
              <a16:creationId xmlns:a16="http://schemas.microsoft.com/office/drawing/2014/main" id="{00000000-0008-0000-3200-00008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8" name="Option Button 387">
          <a:extLst>
            <a:ext uri="{FF2B5EF4-FFF2-40B4-BE49-F238E27FC236}">
              <a16:creationId xmlns:a16="http://schemas.microsoft.com/office/drawing/2014/main" id="{00000000-0008-0000-3200-00008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9" name="Option Button 388">
          <a:extLst>
            <a:ext uri="{FF2B5EF4-FFF2-40B4-BE49-F238E27FC236}">
              <a16:creationId xmlns:a16="http://schemas.microsoft.com/office/drawing/2014/main" id="{00000000-0008-0000-3200-00008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0" name="Option Button 389">
          <a:extLst>
            <a:ext uri="{FF2B5EF4-FFF2-40B4-BE49-F238E27FC236}">
              <a16:creationId xmlns:a16="http://schemas.microsoft.com/office/drawing/2014/main" id="{00000000-0008-0000-3200-00008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1" name="Group Box 390" descr="Group Box 5">
          <a:extLst>
            <a:ext uri="{FF2B5EF4-FFF2-40B4-BE49-F238E27FC236}">
              <a16:creationId xmlns:a16="http://schemas.microsoft.com/office/drawing/2014/main" id="{00000000-0008-0000-3200-000087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98</xdr:row>
      <xdr:rowOff>28440</xdr:rowOff>
    </xdr:from>
    <xdr:to>
      <xdr:col>7</xdr:col>
      <xdr:colOff>-363960</xdr:colOff>
      <xdr:row>99</xdr:row>
      <xdr:rowOff>0</xdr:rowOff>
    </xdr:to>
    <xdr:sp macro="" textlink="">
      <xdr:nvSpPr>
        <xdr:cNvPr id="392" name="Option Button 391">
          <a:extLst>
            <a:ext uri="{FF2B5EF4-FFF2-40B4-BE49-F238E27FC236}">
              <a16:creationId xmlns:a16="http://schemas.microsoft.com/office/drawing/2014/main" id="{00000000-0008-0000-3200-00008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3" name="Option Button 392">
          <a:extLst>
            <a:ext uri="{FF2B5EF4-FFF2-40B4-BE49-F238E27FC236}">
              <a16:creationId xmlns:a16="http://schemas.microsoft.com/office/drawing/2014/main" id="{00000000-0008-0000-3200-00008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4" name="Option Button 393">
          <a:extLst>
            <a:ext uri="{FF2B5EF4-FFF2-40B4-BE49-F238E27FC236}">
              <a16:creationId xmlns:a16="http://schemas.microsoft.com/office/drawing/2014/main" id="{00000000-0008-0000-3200-00008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5" name="Option Button 394">
          <a:extLst>
            <a:ext uri="{FF2B5EF4-FFF2-40B4-BE49-F238E27FC236}">
              <a16:creationId xmlns:a16="http://schemas.microsoft.com/office/drawing/2014/main" id="{00000000-0008-0000-3200-00008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6" name="Group Box 395" descr="Group Box 5">
          <a:extLst>
            <a:ext uri="{FF2B5EF4-FFF2-40B4-BE49-F238E27FC236}">
              <a16:creationId xmlns:a16="http://schemas.microsoft.com/office/drawing/2014/main" id="{00000000-0008-0000-3200-00008C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99</xdr:row>
      <xdr:rowOff>28440</xdr:rowOff>
    </xdr:from>
    <xdr:to>
      <xdr:col>7</xdr:col>
      <xdr:colOff>-363960</xdr:colOff>
      <xdr:row>100</xdr:row>
      <xdr:rowOff>0</xdr:rowOff>
    </xdr:to>
    <xdr:sp macro="" textlink="">
      <xdr:nvSpPr>
        <xdr:cNvPr id="397" name="Option Button 396">
          <a:extLst>
            <a:ext uri="{FF2B5EF4-FFF2-40B4-BE49-F238E27FC236}">
              <a16:creationId xmlns:a16="http://schemas.microsoft.com/office/drawing/2014/main" id="{00000000-0008-0000-3200-00008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8" name="Option Button 397">
          <a:extLst>
            <a:ext uri="{FF2B5EF4-FFF2-40B4-BE49-F238E27FC236}">
              <a16:creationId xmlns:a16="http://schemas.microsoft.com/office/drawing/2014/main" id="{00000000-0008-0000-3200-00008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9" name="Option Button 398">
          <a:extLst>
            <a:ext uri="{FF2B5EF4-FFF2-40B4-BE49-F238E27FC236}">
              <a16:creationId xmlns:a16="http://schemas.microsoft.com/office/drawing/2014/main" id="{00000000-0008-0000-3200-00008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0" name="Option Button 399">
          <a:extLst>
            <a:ext uri="{FF2B5EF4-FFF2-40B4-BE49-F238E27FC236}">
              <a16:creationId xmlns:a16="http://schemas.microsoft.com/office/drawing/2014/main" id="{00000000-0008-0000-3200-00009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1" name="Group Box 400" descr="Group Box 5">
          <a:extLst>
            <a:ext uri="{FF2B5EF4-FFF2-40B4-BE49-F238E27FC236}">
              <a16:creationId xmlns:a16="http://schemas.microsoft.com/office/drawing/2014/main" id="{00000000-0008-0000-3200-000091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100</xdr:row>
      <xdr:rowOff>28440</xdr:rowOff>
    </xdr:from>
    <xdr:to>
      <xdr:col>7</xdr:col>
      <xdr:colOff>-363960</xdr:colOff>
      <xdr:row>101</xdr:row>
      <xdr:rowOff>0</xdr:rowOff>
    </xdr:to>
    <xdr:sp macro="" textlink="">
      <xdr:nvSpPr>
        <xdr:cNvPr id="402" name="Option Button 401">
          <a:extLst>
            <a:ext uri="{FF2B5EF4-FFF2-40B4-BE49-F238E27FC236}">
              <a16:creationId xmlns:a16="http://schemas.microsoft.com/office/drawing/2014/main" id="{00000000-0008-0000-3200-00009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3" name="Option Button 402">
          <a:extLst>
            <a:ext uri="{FF2B5EF4-FFF2-40B4-BE49-F238E27FC236}">
              <a16:creationId xmlns:a16="http://schemas.microsoft.com/office/drawing/2014/main" id="{00000000-0008-0000-3200-00009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4" name="Option Button 403">
          <a:extLst>
            <a:ext uri="{FF2B5EF4-FFF2-40B4-BE49-F238E27FC236}">
              <a16:creationId xmlns:a16="http://schemas.microsoft.com/office/drawing/2014/main" id="{00000000-0008-0000-3200-00009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5" name="Option Button 404">
          <a:extLst>
            <a:ext uri="{FF2B5EF4-FFF2-40B4-BE49-F238E27FC236}">
              <a16:creationId xmlns:a16="http://schemas.microsoft.com/office/drawing/2014/main" id="{00000000-0008-0000-3200-00009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6" name="Group Box 405" descr="Group Box 5">
          <a:extLst>
            <a:ext uri="{FF2B5EF4-FFF2-40B4-BE49-F238E27FC236}">
              <a16:creationId xmlns:a16="http://schemas.microsoft.com/office/drawing/2014/main" id="{00000000-0008-0000-3200-000096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101</xdr:row>
      <xdr:rowOff>28440</xdr:rowOff>
    </xdr:from>
    <xdr:to>
      <xdr:col>7</xdr:col>
      <xdr:colOff>-363960</xdr:colOff>
      <xdr:row>102</xdr:row>
      <xdr:rowOff>0</xdr:rowOff>
    </xdr:to>
    <xdr:sp macro="" textlink="">
      <xdr:nvSpPr>
        <xdr:cNvPr id="407" name="Option Button 406">
          <a:extLst>
            <a:ext uri="{FF2B5EF4-FFF2-40B4-BE49-F238E27FC236}">
              <a16:creationId xmlns:a16="http://schemas.microsoft.com/office/drawing/2014/main" id="{00000000-0008-0000-3200-00009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8" name="Option Button 407">
          <a:extLst>
            <a:ext uri="{FF2B5EF4-FFF2-40B4-BE49-F238E27FC236}">
              <a16:creationId xmlns:a16="http://schemas.microsoft.com/office/drawing/2014/main" id="{00000000-0008-0000-3200-00009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9" name="Option Button 408">
          <a:extLst>
            <a:ext uri="{FF2B5EF4-FFF2-40B4-BE49-F238E27FC236}">
              <a16:creationId xmlns:a16="http://schemas.microsoft.com/office/drawing/2014/main" id="{00000000-0008-0000-3200-00009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0" name="Option Button 409">
          <a:extLst>
            <a:ext uri="{FF2B5EF4-FFF2-40B4-BE49-F238E27FC236}">
              <a16:creationId xmlns:a16="http://schemas.microsoft.com/office/drawing/2014/main" id="{00000000-0008-0000-3200-00009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1" name="Group Box 410" descr="Group Box 5">
          <a:extLst>
            <a:ext uri="{FF2B5EF4-FFF2-40B4-BE49-F238E27FC236}">
              <a16:creationId xmlns:a16="http://schemas.microsoft.com/office/drawing/2014/main" id="{00000000-0008-0000-3200-00009B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102</xdr:row>
      <xdr:rowOff>28440</xdr:rowOff>
    </xdr:from>
    <xdr:to>
      <xdr:col>7</xdr:col>
      <xdr:colOff>-363960</xdr:colOff>
      <xdr:row>103</xdr:row>
      <xdr:rowOff>0</xdr:rowOff>
    </xdr:to>
    <xdr:sp macro="" textlink="">
      <xdr:nvSpPr>
        <xdr:cNvPr id="412" name="Option Button 411">
          <a:extLst>
            <a:ext uri="{FF2B5EF4-FFF2-40B4-BE49-F238E27FC236}">
              <a16:creationId xmlns:a16="http://schemas.microsoft.com/office/drawing/2014/main" id="{00000000-0008-0000-3200-00009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3" name="Option Button 412">
          <a:extLst>
            <a:ext uri="{FF2B5EF4-FFF2-40B4-BE49-F238E27FC236}">
              <a16:creationId xmlns:a16="http://schemas.microsoft.com/office/drawing/2014/main" id="{00000000-0008-0000-3200-00009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4" name="Option Button 413">
          <a:extLst>
            <a:ext uri="{FF2B5EF4-FFF2-40B4-BE49-F238E27FC236}">
              <a16:creationId xmlns:a16="http://schemas.microsoft.com/office/drawing/2014/main" id="{00000000-0008-0000-3200-00009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5" name="Option Button 414">
          <a:extLst>
            <a:ext uri="{FF2B5EF4-FFF2-40B4-BE49-F238E27FC236}">
              <a16:creationId xmlns:a16="http://schemas.microsoft.com/office/drawing/2014/main" id="{00000000-0008-0000-3200-00009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6" name="Group Box 415" descr="Group Box 5">
          <a:extLst>
            <a:ext uri="{FF2B5EF4-FFF2-40B4-BE49-F238E27FC236}">
              <a16:creationId xmlns:a16="http://schemas.microsoft.com/office/drawing/2014/main" id="{00000000-0008-0000-3200-0000A0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103</xdr:row>
      <xdr:rowOff>28440</xdr:rowOff>
    </xdr:from>
    <xdr:to>
      <xdr:col>7</xdr:col>
      <xdr:colOff>-363960</xdr:colOff>
      <xdr:row>104</xdr:row>
      <xdr:rowOff>0</xdr:rowOff>
    </xdr:to>
    <xdr:sp macro="" textlink="">
      <xdr:nvSpPr>
        <xdr:cNvPr id="417" name="Option Button 416">
          <a:extLst>
            <a:ext uri="{FF2B5EF4-FFF2-40B4-BE49-F238E27FC236}">
              <a16:creationId xmlns:a16="http://schemas.microsoft.com/office/drawing/2014/main" id="{00000000-0008-0000-3200-0000A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8" name="Option Button 417">
          <a:extLst>
            <a:ext uri="{FF2B5EF4-FFF2-40B4-BE49-F238E27FC236}">
              <a16:creationId xmlns:a16="http://schemas.microsoft.com/office/drawing/2014/main" id="{00000000-0008-0000-3200-0000A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9" name="Option Button 418">
          <a:extLst>
            <a:ext uri="{FF2B5EF4-FFF2-40B4-BE49-F238E27FC236}">
              <a16:creationId xmlns:a16="http://schemas.microsoft.com/office/drawing/2014/main" id="{00000000-0008-0000-3200-0000A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0" name="Option Button 419">
          <a:extLst>
            <a:ext uri="{FF2B5EF4-FFF2-40B4-BE49-F238E27FC236}">
              <a16:creationId xmlns:a16="http://schemas.microsoft.com/office/drawing/2014/main" id="{00000000-0008-0000-3200-0000A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1" name="Group Box 420" descr="Group Box 5">
          <a:extLst>
            <a:ext uri="{FF2B5EF4-FFF2-40B4-BE49-F238E27FC236}">
              <a16:creationId xmlns:a16="http://schemas.microsoft.com/office/drawing/2014/main" id="{00000000-0008-0000-3200-0000A5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104</xdr:row>
      <xdr:rowOff>28440</xdr:rowOff>
    </xdr:from>
    <xdr:to>
      <xdr:col>7</xdr:col>
      <xdr:colOff>-363960</xdr:colOff>
      <xdr:row>105</xdr:row>
      <xdr:rowOff>0</xdr:rowOff>
    </xdr:to>
    <xdr:sp macro="" textlink="">
      <xdr:nvSpPr>
        <xdr:cNvPr id="422" name="Option Button 421">
          <a:extLst>
            <a:ext uri="{FF2B5EF4-FFF2-40B4-BE49-F238E27FC236}">
              <a16:creationId xmlns:a16="http://schemas.microsoft.com/office/drawing/2014/main" id="{00000000-0008-0000-3200-0000A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3" name="Option Button 422">
          <a:extLst>
            <a:ext uri="{FF2B5EF4-FFF2-40B4-BE49-F238E27FC236}">
              <a16:creationId xmlns:a16="http://schemas.microsoft.com/office/drawing/2014/main" id="{00000000-0008-0000-3200-0000A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4" name="Option Button 423">
          <a:extLst>
            <a:ext uri="{FF2B5EF4-FFF2-40B4-BE49-F238E27FC236}">
              <a16:creationId xmlns:a16="http://schemas.microsoft.com/office/drawing/2014/main" id="{00000000-0008-0000-3200-0000A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5" name="Option Button 424">
          <a:extLst>
            <a:ext uri="{FF2B5EF4-FFF2-40B4-BE49-F238E27FC236}">
              <a16:creationId xmlns:a16="http://schemas.microsoft.com/office/drawing/2014/main" id="{00000000-0008-0000-3200-0000A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6" name="Group Box 425" descr="Group Box 5">
          <a:extLst>
            <a:ext uri="{FF2B5EF4-FFF2-40B4-BE49-F238E27FC236}">
              <a16:creationId xmlns:a16="http://schemas.microsoft.com/office/drawing/2014/main" id="{00000000-0008-0000-3200-0000AA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105</xdr:row>
      <xdr:rowOff>28440</xdr:rowOff>
    </xdr:from>
    <xdr:to>
      <xdr:col>7</xdr:col>
      <xdr:colOff>-363960</xdr:colOff>
      <xdr:row>106</xdr:row>
      <xdr:rowOff>0</xdr:rowOff>
    </xdr:to>
    <xdr:sp macro="" textlink="">
      <xdr:nvSpPr>
        <xdr:cNvPr id="427" name="Option Button 426">
          <a:extLst>
            <a:ext uri="{FF2B5EF4-FFF2-40B4-BE49-F238E27FC236}">
              <a16:creationId xmlns:a16="http://schemas.microsoft.com/office/drawing/2014/main" id="{00000000-0008-0000-3200-0000A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8" name="Option Button 427">
          <a:extLst>
            <a:ext uri="{FF2B5EF4-FFF2-40B4-BE49-F238E27FC236}">
              <a16:creationId xmlns:a16="http://schemas.microsoft.com/office/drawing/2014/main" id="{00000000-0008-0000-3200-0000A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9" name="Option Button 428">
          <a:extLst>
            <a:ext uri="{FF2B5EF4-FFF2-40B4-BE49-F238E27FC236}">
              <a16:creationId xmlns:a16="http://schemas.microsoft.com/office/drawing/2014/main" id="{00000000-0008-0000-3200-0000A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0" name="Option Button 429">
          <a:extLst>
            <a:ext uri="{FF2B5EF4-FFF2-40B4-BE49-F238E27FC236}">
              <a16:creationId xmlns:a16="http://schemas.microsoft.com/office/drawing/2014/main" id="{00000000-0008-0000-3200-0000A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1" name="Group Box 430" descr="Group Box 5">
          <a:extLst>
            <a:ext uri="{FF2B5EF4-FFF2-40B4-BE49-F238E27FC236}">
              <a16:creationId xmlns:a16="http://schemas.microsoft.com/office/drawing/2014/main" id="{00000000-0008-0000-3200-0000AF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106</xdr:row>
      <xdr:rowOff>28440</xdr:rowOff>
    </xdr:from>
    <xdr:to>
      <xdr:col>7</xdr:col>
      <xdr:colOff>-363960</xdr:colOff>
      <xdr:row>107</xdr:row>
      <xdr:rowOff>0</xdr:rowOff>
    </xdr:to>
    <xdr:sp macro="" textlink="">
      <xdr:nvSpPr>
        <xdr:cNvPr id="432" name="Option Button 431">
          <a:extLst>
            <a:ext uri="{FF2B5EF4-FFF2-40B4-BE49-F238E27FC236}">
              <a16:creationId xmlns:a16="http://schemas.microsoft.com/office/drawing/2014/main" id="{00000000-0008-0000-3200-0000B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3" name="Option Button 432">
          <a:extLst>
            <a:ext uri="{FF2B5EF4-FFF2-40B4-BE49-F238E27FC236}">
              <a16:creationId xmlns:a16="http://schemas.microsoft.com/office/drawing/2014/main" id="{00000000-0008-0000-3200-0000B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4" name="Option Button 433">
          <a:extLst>
            <a:ext uri="{FF2B5EF4-FFF2-40B4-BE49-F238E27FC236}">
              <a16:creationId xmlns:a16="http://schemas.microsoft.com/office/drawing/2014/main" id="{00000000-0008-0000-3200-0000B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5" name="Option Button 434">
          <a:extLst>
            <a:ext uri="{FF2B5EF4-FFF2-40B4-BE49-F238E27FC236}">
              <a16:creationId xmlns:a16="http://schemas.microsoft.com/office/drawing/2014/main" id="{00000000-0008-0000-3200-0000B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6" name="Group Box 435" descr="Group Box 5">
          <a:extLst>
            <a:ext uri="{FF2B5EF4-FFF2-40B4-BE49-F238E27FC236}">
              <a16:creationId xmlns:a16="http://schemas.microsoft.com/office/drawing/2014/main" id="{00000000-0008-0000-3200-0000B4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107</xdr:row>
      <xdr:rowOff>28440</xdr:rowOff>
    </xdr:from>
    <xdr:to>
      <xdr:col>7</xdr:col>
      <xdr:colOff>-363960</xdr:colOff>
      <xdr:row>108</xdr:row>
      <xdr:rowOff>0</xdr:rowOff>
    </xdr:to>
    <xdr:sp macro="" textlink="">
      <xdr:nvSpPr>
        <xdr:cNvPr id="437" name="Option Button 436">
          <a:extLst>
            <a:ext uri="{FF2B5EF4-FFF2-40B4-BE49-F238E27FC236}">
              <a16:creationId xmlns:a16="http://schemas.microsoft.com/office/drawing/2014/main" id="{00000000-0008-0000-3200-0000B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8" name="Option Button 437">
          <a:extLst>
            <a:ext uri="{FF2B5EF4-FFF2-40B4-BE49-F238E27FC236}">
              <a16:creationId xmlns:a16="http://schemas.microsoft.com/office/drawing/2014/main" id="{00000000-0008-0000-3200-0000B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9" name="Option Button 438">
          <a:extLst>
            <a:ext uri="{FF2B5EF4-FFF2-40B4-BE49-F238E27FC236}">
              <a16:creationId xmlns:a16="http://schemas.microsoft.com/office/drawing/2014/main" id="{00000000-0008-0000-3200-0000B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0" name="Option Button 439">
          <a:extLst>
            <a:ext uri="{FF2B5EF4-FFF2-40B4-BE49-F238E27FC236}">
              <a16:creationId xmlns:a16="http://schemas.microsoft.com/office/drawing/2014/main" id="{00000000-0008-0000-3200-0000B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1" name="Group Box 440" descr="Group Box 5">
          <a:extLst>
            <a:ext uri="{FF2B5EF4-FFF2-40B4-BE49-F238E27FC236}">
              <a16:creationId xmlns:a16="http://schemas.microsoft.com/office/drawing/2014/main" id="{00000000-0008-0000-3200-0000B9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108</xdr:row>
      <xdr:rowOff>28440</xdr:rowOff>
    </xdr:from>
    <xdr:to>
      <xdr:col>7</xdr:col>
      <xdr:colOff>-363960</xdr:colOff>
      <xdr:row>109</xdr:row>
      <xdr:rowOff>0</xdr:rowOff>
    </xdr:to>
    <xdr:sp macro="" textlink="">
      <xdr:nvSpPr>
        <xdr:cNvPr id="442" name="Option Button 441">
          <a:extLst>
            <a:ext uri="{FF2B5EF4-FFF2-40B4-BE49-F238E27FC236}">
              <a16:creationId xmlns:a16="http://schemas.microsoft.com/office/drawing/2014/main" id="{00000000-0008-0000-3200-0000B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3" name="Option Button 442">
          <a:extLst>
            <a:ext uri="{FF2B5EF4-FFF2-40B4-BE49-F238E27FC236}">
              <a16:creationId xmlns:a16="http://schemas.microsoft.com/office/drawing/2014/main" id="{00000000-0008-0000-3200-0000B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4" name="Option Button 443">
          <a:extLst>
            <a:ext uri="{FF2B5EF4-FFF2-40B4-BE49-F238E27FC236}">
              <a16:creationId xmlns:a16="http://schemas.microsoft.com/office/drawing/2014/main" id="{00000000-0008-0000-3200-0000B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5" name="Option Button 444">
          <a:extLst>
            <a:ext uri="{FF2B5EF4-FFF2-40B4-BE49-F238E27FC236}">
              <a16:creationId xmlns:a16="http://schemas.microsoft.com/office/drawing/2014/main" id="{00000000-0008-0000-3200-0000B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6" name="Group Box 445" descr="Group Box 5">
          <a:extLst>
            <a:ext uri="{FF2B5EF4-FFF2-40B4-BE49-F238E27FC236}">
              <a16:creationId xmlns:a16="http://schemas.microsoft.com/office/drawing/2014/main" id="{00000000-0008-0000-3200-0000BE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109</xdr:row>
      <xdr:rowOff>28440</xdr:rowOff>
    </xdr:from>
    <xdr:to>
      <xdr:col>7</xdr:col>
      <xdr:colOff>-363960</xdr:colOff>
      <xdr:row>110</xdr:row>
      <xdr:rowOff>0</xdr:rowOff>
    </xdr:to>
    <xdr:sp macro="" textlink="">
      <xdr:nvSpPr>
        <xdr:cNvPr id="447" name="Option Button 446">
          <a:extLst>
            <a:ext uri="{FF2B5EF4-FFF2-40B4-BE49-F238E27FC236}">
              <a16:creationId xmlns:a16="http://schemas.microsoft.com/office/drawing/2014/main" id="{00000000-0008-0000-3200-0000B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8" name="Option Button 447">
          <a:extLst>
            <a:ext uri="{FF2B5EF4-FFF2-40B4-BE49-F238E27FC236}">
              <a16:creationId xmlns:a16="http://schemas.microsoft.com/office/drawing/2014/main" id="{00000000-0008-0000-3200-0000C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9" name="Option Button 448">
          <a:extLst>
            <a:ext uri="{FF2B5EF4-FFF2-40B4-BE49-F238E27FC236}">
              <a16:creationId xmlns:a16="http://schemas.microsoft.com/office/drawing/2014/main" id="{00000000-0008-0000-3200-0000C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0" name="Option Button 449">
          <a:extLst>
            <a:ext uri="{FF2B5EF4-FFF2-40B4-BE49-F238E27FC236}">
              <a16:creationId xmlns:a16="http://schemas.microsoft.com/office/drawing/2014/main" id="{00000000-0008-0000-3200-0000C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1" name="Group Box 450" descr="Group Box 5">
          <a:extLst>
            <a:ext uri="{FF2B5EF4-FFF2-40B4-BE49-F238E27FC236}">
              <a16:creationId xmlns:a16="http://schemas.microsoft.com/office/drawing/2014/main" id="{00000000-0008-0000-3200-0000C3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110</xdr:row>
      <xdr:rowOff>28440</xdr:rowOff>
    </xdr:from>
    <xdr:to>
      <xdr:col>7</xdr:col>
      <xdr:colOff>-363960</xdr:colOff>
      <xdr:row>111</xdr:row>
      <xdr:rowOff>0</xdr:rowOff>
    </xdr:to>
    <xdr:sp macro="" textlink="">
      <xdr:nvSpPr>
        <xdr:cNvPr id="452" name="Option Button 451">
          <a:extLst>
            <a:ext uri="{FF2B5EF4-FFF2-40B4-BE49-F238E27FC236}">
              <a16:creationId xmlns:a16="http://schemas.microsoft.com/office/drawing/2014/main" id="{00000000-0008-0000-3200-0000C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3" name="Option Button 452">
          <a:extLst>
            <a:ext uri="{FF2B5EF4-FFF2-40B4-BE49-F238E27FC236}">
              <a16:creationId xmlns:a16="http://schemas.microsoft.com/office/drawing/2014/main" id="{00000000-0008-0000-3200-0000C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4" name="Option Button 453">
          <a:extLst>
            <a:ext uri="{FF2B5EF4-FFF2-40B4-BE49-F238E27FC236}">
              <a16:creationId xmlns:a16="http://schemas.microsoft.com/office/drawing/2014/main" id="{00000000-0008-0000-3200-0000C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5" name="Option Button 454">
          <a:extLst>
            <a:ext uri="{FF2B5EF4-FFF2-40B4-BE49-F238E27FC236}">
              <a16:creationId xmlns:a16="http://schemas.microsoft.com/office/drawing/2014/main" id="{00000000-0008-0000-3200-0000C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6" name="Group Box 455" descr="Group Box 5">
          <a:extLst>
            <a:ext uri="{FF2B5EF4-FFF2-40B4-BE49-F238E27FC236}">
              <a16:creationId xmlns:a16="http://schemas.microsoft.com/office/drawing/2014/main" id="{00000000-0008-0000-3200-0000C8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111</xdr:row>
      <xdr:rowOff>28440</xdr:rowOff>
    </xdr:from>
    <xdr:to>
      <xdr:col>7</xdr:col>
      <xdr:colOff>-363960</xdr:colOff>
      <xdr:row>112</xdr:row>
      <xdr:rowOff>0</xdr:rowOff>
    </xdr:to>
    <xdr:sp macro="" textlink="">
      <xdr:nvSpPr>
        <xdr:cNvPr id="457" name="Option Button 456">
          <a:extLst>
            <a:ext uri="{FF2B5EF4-FFF2-40B4-BE49-F238E27FC236}">
              <a16:creationId xmlns:a16="http://schemas.microsoft.com/office/drawing/2014/main" id="{00000000-0008-0000-3200-0000C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8" name="Option Button 457">
          <a:extLst>
            <a:ext uri="{FF2B5EF4-FFF2-40B4-BE49-F238E27FC236}">
              <a16:creationId xmlns:a16="http://schemas.microsoft.com/office/drawing/2014/main" id="{00000000-0008-0000-3200-0000C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9" name="Option Button 458">
          <a:extLst>
            <a:ext uri="{FF2B5EF4-FFF2-40B4-BE49-F238E27FC236}">
              <a16:creationId xmlns:a16="http://schemas.microsoft.com/office/drawing/2014/main" id="{00000000-0008-0000-3200-0000C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0" name="Option Button 459">
          <a:extLst>
            <a:ext uri="{FF2B5EF4-FFF2-40B4-BE49-F238E27FC236}">
              <a16:creationId xmlns:a16="http://schemas.microsoft.com/office/drawing/2014/main" id="{00000000-0008-0000-3200-0000C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1" name="Group Box 460" descr="Group Box 5">
          <a:extLst>
            <a:ext uri="{FF2B5EF4-FFF2-40B4-BE49-F238E27FC236}">
              <a16:creationId xmlns:a16="http://schemas.microsoft.com/office/drawing/2014/main" id="{00000000-0008-0000-3200-0000CD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112</xdr:row>
      <xdr:rowOff>28440</xdr:rowOff>
    </xdr:from>
    <xdr:to>
      <xdr:col>7</xdr:col>
      <xdr:colOff>-363960</xdr:colOff>
      <xdr:row>113</xdr:row>
      <xdr:rowOff>0</xdr:rowOff>
    </xdr:to>
    <xdr:sp macro="" textlink="">
      <xdr:nvSpPr>
        <xdr:cNvPr id="462" name="Option Button 461">
          <a:extLst>
            <a:ext uri="{FF2B5EF4-FFF2-40B4-BE49-F238E27FC236}">
              <a16:creationId xmlns:a16="http://schemas.microsoft.com/office/drawing/2014/main" id="{00000000-0008-0000-3200-0000C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3" name="Option Button 462">
          <a:extLst>
            <a:ext uri="{FF2B5EF4-FFF2-40B4-BE49-F238E27FC236}">
              <a16:creationId xmlns:a16="http://schemas.microsoft.com/office/drawing/2014/main" id="{00000000-0008-0000-3200-0000C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4" name="Option Button 463">
          <a:extLst>
            <a:ext uri="{FF2B5EF4-FFF2-40B4-BE49-F238E27FC236}">
              <a16:creationId xmlns:a16="http://schemas.microsoft.com/office/drawing/2014/main" id="{00000000-0008-0000-3200-0000D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5" name="Option Button 464">
          <a:extLst>
            <a:ext uri="{FF2B5EF4-FFF2-40B4-BE49-F238E27FC236}">
              <a16:creationId xmlns:a16="http://schemas.microsoft.com/office/drawing/2014/main" id="{00000000-0008-0000-3200-0000D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6" name="Group Box 465" descr="Group Box 5">
          <a:extLst>
            <a:ext uri="{FF2B5EF4-FFF2-40B4-BE49-F238E27FC236}">
              <a16:creationId xmlns:a16="http://schemas.microsoft.com/office/drawing/2014/main" id="{00000000-0008-0000-3200-0000D2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113</xdr:row>
      <xdr:rowOff>28440</xdr:rowOff>
    </xdr:from>
    <xdr:to>
      <xdr:col>7</xdr:col>
      <xdr:colOff>-363960</xdr:colOff>
      <xdr:row>114</xdr:row>
      <xdr:rowOff>0</xdr:rowOff>
    </xdr:to>
    <xdr:sp macro="" textlink="">
      <xdr:nvSpPr>
        <xdr:cNvPr id="467" name="Option Button 466">
          <a:extLst>
            <a:ext uri="{FF2B5EF4-FFF2-40B4-BE49-F238E27FC236}">
              <a16:creationId xmlns:a16="http://schemas.microsoft.com/office/drawing/2014/main" id="{00000000-0008-0000-3200-0000D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8" name="Option Button 467">
          <a:extLst>
            <a:ext uri="{FF2B5EF4-FFF2-40B4-BE49-F238E27FC236}">
              <a16:creationId xmlns:a16="http://schemas.microsoft.com/office/drawing/2014/main" id="{00000000-0008-0000-3200-0000D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9" name="Option Button 468">
          <a:extLst>
            <a:ext uri="{FF2B5EF4-FFF2-40B4-BE49-F238E27FC236}">
              <a16:creationId xmlns:a16="http://schemas.microsoft.com/office/drawing/2014/main" id="{00000000-0008-0000-3200-0000D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0" name="Option Button 469">
          <a:extLst>
            <a:ext uri="{FF2B5EF4-FFF2-40B4-BE49-F238E27FC236}">
              <a16:creationId xmlns:a16="http://schemas.microsoft.com/office/drawing/2014/main" id="{00000000-0008-0000-3200-0000D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1" name="Group Box 470" descr="Group Box 5">
          <a:extLst>
            <a:ext uri="{FF2B5EF4-FFF2-40B4-BE49-F238E27FC236}">
              <a16:creationId xmlns:a16="http://schemas.microsoft.com/office/drawing/2014/main" id="{00000000-0008-0000-3200-0000D7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114</xdr:row>
      <xdr:rowOff>28440</xdr:rowOff>
    </xdr:from>
    <xdr:to>
      <xdr:col>7</xdr:col>
      <xdr:colOff>-363960</xdr:colOff>
      <xdr:row>115</xdr:row>
      <xdr:rowOff>0</xdr:rowOff>
    </xdr:to>
    <xdr:sp macro="" textlink="">
      <xdr:nvSpPr>
        <xdr:cNvPr id="472" name="Option Button 471">
          <a:extLst>
            <a:ext uri="{FF2B5EF4-FFF2-40B4-BE49-F238E27FC236}">
              <a16:creationId xmlns:a16="http://schemas.microsoft.com/office/drawing/2014/main" id="{00000000-0008-0000-3200-0000D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3" name="Option Button 472">
          <a:extLst>
            <a:ext uri="{FF2B5EF4-FFF2-40B4-BE49-F238E27FC236}">
              <a16:creationId xmlns:a16="http://schemas.microsoft.com/office/drawing/2014/main" id="{00000000-0008-0000-3200-0000D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4" name="Option Button 473">
          <a:extLst>
            <a:ext uri="{FF2B5EF4-FFF2-40B4-BE49-F238E27FC236}">
              <a16:creationId xmlns:a16="http://schemas.microsoft.com/office/drawing/2014/main" id="{00000000-0008-0000-3200-0000D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5" name="Option Button 474">
          <a:extLst>
            <a:ext uri="{FF2B5EF4-FFF2-40B4-BE49-F238E27FC236}">
              <a16:creationId xmlns:a16="http://schemas.microsoft.com/office/drawing/2014/main" id="{00000000-0008-0000-3200-0000D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6" name="Group Box 475" descr="Group Box 5">
          <a:extLst>
            <a:ext uri="{FF2B5EF4-FFF2-40B4-BE49-F238E27FC236}">
              <a16:creationId xmlns:a16="http://schemas.microsoft.com/office/drawing/2014/main" id="{00000000-0008-0000-3200-0000DC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115</xdr:row>
      <xdr:rowOff>28440</xdr:rowOff>
    </xdr:from>
    <xdr:to>
      <xdr:col>7</xdr:col>
      <xdr:colOff>-363960</xdr:colOff>
      <xdr:row>116</xdr:row>
      <xdr:rowOff>0</xdr:rowOff>
    </xdr:to>
    <xdr:sp macro="" textlink="">
      <xdr:nvSpPr>
        <xdr:cNvPr id="477" name="Option Button 476">
          <a:extLst>
            <a:ext uri="{FF2B5EF4-FFF2-40B4-BE49-F238E27FC236}">
              <a16:creationId xmlns:a16="http://schemas.microsoft.com/office/drawing/2014/main" id="{00000000-0008-0000-3200-0000D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8" name="Option Button 477">
          <a:extLst>
            <a:ext uri="{FF2B5EF4-FFF2-40B4-BE49-F238E27FC236}">
              <a16:creationId xmlns:a16="http://schemas.microsoft.com/office/drawing/2014/main" id="{00000000-0008-0000-3200-0000D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9" name="Option Button 478">
          <a:extLst>
            <a:ext uri="{FF2B5EF4-FFF2-40B4-BE49-F238E27FC236}">
              <a16:creationId xmlns:a16="http://schemas.microsoft.com/office/drawing/2014/main" id="{00000000-0008-0000-3200-0000D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0" name="Option Button 479">
          <a:extLst>
            <a:ext uri="{FF2B5EF4-FFF2-40B4-BE49-F238E27FC236}">
              <a16:creationId xmlns:a16="http://schemas.microsoft.com/office/drawing/2014/main" id="{00000000-0008-0000-3200-0000E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1" name="Group Box 480" descr="Group Box 5">
          <a:extLst>
            <a:ext uri="{FF2B5EF4-FFF2-40B4-BE49-F238E27FC236}">
              <a16:creationId xmlns:a16="http://schemas.microsoft.com/office/drawing/2014/main" id="{00000000-0008-0000-3200-0000E1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116</xdr:row>
      <xdr:rowOff>28440</xdr:rowOff>
    </xdr:from>
    <xdr:to>
      <xdr:col>7</xdr:col>
      <xdr:colOff>-363960</xdr:colOff>
      <xdr:row>117</xdr:row>
      <xdr:rowOff>0</xdr:rowOff>
    </xdr:to>
    <xdr:sp macro="" textlink="">
      <xdr:nvSpPr>
        <xdr:cNvPr id="482" name="Option Button 481">
          <a:extLst>
            <a:ext uri="{FF2B5EF4-FFF2-40B4-BE49-F238E27FC236}">
              <a16:creationId xmlns:a16="http://schemas.microsoft.com/office/drawing/2014/main" id="{00000000-0008-0000-3200-0000E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3" name="Option Button 482">
          <a:extLst>
            <a:ext uri="{FF2B5EF4-FFF2-40B4-BE49-F238E27FC236}">
              <a16:creationId xmlns:a16="http://schemas.microsoft.com/office/drawing/2014/main" id="{00000000-0008-0000-3200-0000E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4" name="Option Button 483">
          <a:extLst>
            <a:ext uri="{FF2B5EF4-FFF2-40B4-BE49-F238E27FC236}">
              <a16:creationId xmlns:a16="http://schemas.microsoft.com/office/drawing/2014/main" id="{00000000-0008-0000-3200-0000E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5" name="Option Button 484">
          <a:extLst>
            <a:ext uri="{FF2B5EF4-FFF2-40B4-BE49-F238E27FC236}">
              <a16:creationId xmlns:a16="http://schemas.microsoft.com/office/drawing/2014/main" id="{00000000-0008-0000-3200-0000E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6" name="Group Box 485" descr="Group Box 5">
          <a:extLst>
            <a:ext uri="{FF2B5EF4-FFF2-40B4-BE49-F238E27FC236}">
              <a16:creationId xmlns:a16="http://schemas.microsoft.com/office/drawing/2014/main" id="{00000000-0008-0000-3200-0000E6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117</xdr:row>
      <xdr:rowOff>28440</xdr:rowOff>
    </xdr:from>
    <xdr:to>
      <xdr:col>7</xdr:col>
      <xdr:colOff>-363960</xdr:colOff>
      <xdr:row>118</xdr:row>
      <xdr:rowOff>0</xdr:rowOff>
    </xdr:to>
    <xdr:sp macro="" textlink="">
      <xdr:nvSpPr>
        <xdr:cNvPr id="487" name="Option Button 486">
          <a:extLst>
            <a:ext uri="{FF2B5EF4-FFF2-40B4-BE49-F238E27FC236}">
              <a16:creationId xmlns:a16="http://schemas.microsoft.com/office/drawing/2014/main" id="{00000000-0008-0000-3200-0000E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8" name="Option Button 487">
          <a:extLst>
            <a:ext uri="{FF2B5EF4-FFF2-40B4-BE49-F238E27FC236}">
              <a16:creationId xmlns:a16="http://schemas.microsoft.com/office/drawing/2014/main" id="{00000000-0008-0000-3200-0000E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9" name="Option Button 488">
          <a:extLst>
            <a:ext uri="{FF2B5EF4-FFF2-40B4-BE49-F238E27FC236}">
              <a16:creationId xmlns:a16="http://schemas.microsoft.com/office/drawing/2014/main" id="{00000000-0008-0000-3200-0000E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0" name="Option Button 489">
          <a:extLst>
            <a:ext uri="{FF2B5EF4-FFF2-40B4-BE49-F238E27FC236}">
              <a16:creationId xmlns:a16="http://schemas.microsoft.com/office/drawing/2014/main" id="{00000000-0008-0000-3200-0000E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1" name="Group Box 490" descr="Group Box 5">
          <a:extLst>
            <a:ext uri="{FF2B5EF4-FFF2-40B4-BE49-F238E27FC236}">
              <a16:creationId xmlns:a16="http://schemas.microsoft.com/office/drawing/2014/main" id="{00000000-0008-0000-3200-0000EB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118</xdr:row>
      <xdr:rowOff>28440</xdr:rowOff>
    </xdr:from>
    <xdr:to>
      <xdr:col>7</xdr:col>
      <xdr:colOff>-363960</xdr:colOff>
      <xdr:row>119</xdr:row>
      <xdr:rowOff>0</xdr:rowOff>
    </xdr:to>
    <xdr:sp macro="" textlink="">
      <xdr:nvSpPr>
        <xdr:cNvPr id="492" name="Option Button 491">
          <a:extLst>
            <a:ext uri="{FF2B5EF4-FFF2-40B4-BE49-F238E27FC236}">
              <a16:creationId xmlns:a16="http://schemas.microsoft.com/office/drawing/2014/main" id="{00000000-0008-0000-3200-0000E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3" name="Option Button 492">
          <a:extLst>
            <a:ext uri="{FF2B5EF4-FFF2-40B4-BE49-F238E27FC236}">
              <a16:creationId xmlns:a16="http://schemas.microsoft.com/office/drawing/2014/main" id="{00000000-0008-0000-3200-0000E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4" name="Option Button 493">
          <a:extLst>
            <a:ext uri="{FF2B5EF4-FFF2-40B4-BE49-F238E27FC236}">
              <a16:creationId xmlns:a16="http://schemas.microsoft.com/office/drawing/2014/main" id="{00000000-0008-0000-3200-0000E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5" name="Option Button 494">
          <a:extLst>
            <a:ext uri="{FF2B5EF4-FFF2-40B4-BE49-F238E27FC236}">
              <a16:creationId xmlns:a16="http://schemas.microsoft.com/office/drawing/2014/main" id="{00000000-0008-0000-3200-0000E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6" name="Group Box 495" descr="Group Box 5">
          <a:extLst>
            <a:ext uri="{FF2B5EF4-FFF2-40B4-BE49-F238E27FC236}">
              <a16:creationId xmlns:a16="http://schemas.microsoft.com/office/drawing/2014/main" id="{00000000-0008-0000-3200-0000F0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119</xdr:row>
      <xdr:rowOff>28440</xdr:rowOff>
    </xdr:from>
    <xdr:to>
      <xdr:col>7</xdr:col>
      <xdr:colOff>-363960</xdr:colOff>
      <xdr:row>120</xdr:row>
      <xdr:rowOff>0</xdr:rowOff>
    </xdr:to>
    <xdr:sp macro="" textlink="">
      <xdr:nvSpPr>
        <xdr:cNvPr id="497" name="Option Button 496">
          <a:extLst>
            <a:ext uri="{FF2B5EF4-FFF2-40B4-BE49-F238E27FC236}">
              <a16:creationId xmlns:a16="http://schemas.microsoft.com/office/drawing/2014/main" id="{00000000-0008-0000-3200-0000F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8" name="Option Button 497">
          <a:extLst>
            <a:ext uri="{FF2B5EF4-FFF2-40B4-BE49-F238E27FC236}">
              <a16:creationId xmlns:a16="http://schemas.microsoft.com/office/drawing/2014/main" id="{00000000-0008-0000-3200-0000F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9" name="Option Button 498">
          <a:extLst>
            <a:ext uri="{FF2B5EF4-FFF2-40B4-BE49-F238E27FC236}">
              <a16:creationId xmlns:a16="http://schemas.microsoft.com/office/drawing/2014/main" id="{00000000-0008-0000-3200-0000F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0" name="Option Button 499">
          <a:extLst>
            <a:ext uri="{FF2B5EF4-FFF2-40B4-BE49-F238E27FC236}">
              <a16:creationId xmlns:a16="http://schemas.microsoft.com/office/drawing/2014/main" id="{00000000-0008-0000-3200-0000F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1" name="Group Box 500" descr="Group Box 5">
          <a:extLst>
            <a:ext uri="{FF2B5EF4-FFF2-40B4-BE49-F238E27FC236}">
              <a16:creationId xmlns:a16="http://schemas.microsoft.com/office/drawing/2014/main" id="{00000000-0008-0000-3200-0000F5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120</xdr:row>
      <xdr:rowOff>28440</xdr:rowOff>
    </xdr:from>
    <xdr:to>
      <xdr:col>7</xdr:col>
      <xdr:colOff>-363960</xdr:colOff>
      <xdr:row>121</xdr:row>
      <xdr:rowOff>0</xdr:rowOff>
    </xdr:to>
    <xdr:sp macro="" textlink="">
      <xdr:nvSpPr>
        <xdr:cNvPr id="502" name="Option Button 501">
          <a:extLst>
            <a:ext uri="{FF2B5EF4-FFF2-40B4-BE49-F238E27FC236}">
              <a16:creationId xmlns:a16="http://schemas.microsoft.com/office/drawing/2014/main" id="{00000000-0008-0000-3200-0000F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3" name="Option Button 502">
          <a:extLst>
            <a:ext uri="{FF2B5EF4-FFF2-40B4-BE49-F238E27FC236}">
              <a16:creationId xmlns:a16="http://schemas.microsoft.com/office/drawing/2014/main" id="{00000000-0008-0000-3200-0000F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4" name="Option Button 503">
          <a:extLst>
            <a:ext uri="{FF2B5EF4-FFF2-40B4-BE49-F238E27FC236}">
              <a16:creationId xmlns:a16="http://schemas.microsoft.com/office/drawing/2014/main" id="{00000000-0008-0000-3200-0000F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5" name="Option Button 504">
          <a:extLst>
            <a:ext uri="{FF2B5EF4-FFF2-40B4-BE49-F238E27FC236}">
              <a16:creationId xmlns:a16="http://schemas.microsoft.com/office/drawing/2014/main" id="{00000000-0008-0000-3200-0000F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6" name="Group Box 505" descr="Group Box 5">
          <a:extLst>
            <a:ext uri="{FF2B5EF4-FFF2-40B4-BE49-F238E27FC236}">
              <a16:creationId xmlns:a16="http://schemas.microsoft.com/office/drawing/2014/main" id="{00000000-0008-0000-3200-0000FA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121</xdr:row>
      <xdr:rowOff>28440</xdr:rowOff>
    </xdr:from>
    <xdr:to>
      <xdr:col>7</xdr:col>
      <xdr:colOff>-363960</xdr:colOff>
      <xdr:row>122</xdr:row>
      <xdr:rowOff>0</xdr:rowOff>
    </xdr:to>
    <xdr:sp macro="" textlink="">
      <xdr:nvSpPr>
        <xdr:cNvPr id="507" name="Option Button 506">
          <a:extLst>
            <a:ext uri="{FF2B5EF4-FFF2-40B4-BE49-F238E27FC236}">
              <a16:creationId xmlns:a16="http://schemas.microsoft.com/office/drawing/2014/main" id="{00000000-0008-0000-3200-0000F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8" name="Option Button 507">
          <a:extLst>
            <a:ext uri="{FF2B5EF4-FFF2-40B4-BE49-F238E27FC236}">
              <a16:creationId xmlns:a16="http://schemas.microsoft.com/office/drawing/2014/main" id="{00000000-0008-0000-3200-0000F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9" name="Option Button 508">
          <a:extLst>
            <a:ext uri="{FF2B5EF4-FFF2-40B4-BE49-F238E27FC236}">
              <a16:creationId xmlns:a16="http://schemas.microsoft.com/office/drawing/2014/main" id="{00000000-0008-0000-3200-0000F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0" name="Option Button 509">
          <a:extLst>
            <a:ext uri="{FF2B5EF4-FFF2-40B4-BE49-F238E27FC236}">
              <a16:creationId xmlns:a16="http://schemas.microsoft.com/office/drawing/2014/main" id="{00000000-0008-0000-3200-0000F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1" name="Group Box 510" descr="Group Box 5">
          <a:extLst>
            <a:ext uri="{FF2B5EF4-FFF2-40B4-BE49-F238E27FC236}">
              <a16:creationId xmlns:a16="http://schemas.microsoft.com/office/drawing/2014/main" id="{00000000-0008-0000-3200-0000FF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122</xdr:row>
      <xdr:rowOff>28440</xdr:rowOff>
    </xdr:from>
    <xdr:to>
      <xdr:col>7</xdr:col>
      <xdr:colOff>-363960</xdr:colOff>
      <xdr:row>123</xdr:row>
      <xdr:rowOff>0</xdr:rowOff>
    </xdr:to>
    <xdr:sp macro="" textlink="">
      <xdr:nvSpPr>
        <xdr:cNvPr id="512" name="Option Button 511">
          <a:extLst>
            <a:ext uri="{FF2B5EF4-FFF2-40B4-BE49-F238E27FC236}">
              <a16:creationId xmlns:a16="http://schemas.microsoft.com/office/drawing/2014/main" id="{00000000-0008-0000-3200-00000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3" name="Option Button 512">
          <a:extLst>
            <a:ext uri="{FF2B5EF4-FFF2-40B4-BE49-F238E27FC236}">
              <a16:creationId xmlns:a16="http://schemas.microsoft.com/office/drawing/2014/main" id="{00000000-0008-0000-3200-00000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4" name="Option Button 513">
          <a:extLst>
            <a:ext uri="{FF2B5EF4-FFF2-40B4-BE49-F238E27FC236}">
              <a16:creationId xmlns:a16="http://schemas.microsoft.com/office/drawing/2014/main" id="{00000000-0008-0000-3200-00000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5" name="Option Button 514">
          <a:extLst>
            <a:ext uri="{FF2B5EF4-FFF2-40B4-BE49-F238E27FC236}">
              <a16:creationId xmlns:a16="http://schemas.microsoft.com/office/drawing/2014/main" id="{00000000-0008-0000-3200-00000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6" name="Group Box 515" descr="Group Box 5">
          <a:extLst>
            <a:ext uri="{FF2B5EF4-FFF2-40B4-BE49-F238E27FC236}">
              <a16:creationId xmlns:a16="http://schemas.microsoft.com/office/drawing/2014/main" id="{00000000-0008-0000-3200-000004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123</xdr:row>
      <xdr:rowOff>28440</xdr:rowOff>
    </xdr:from>
    <xdr:to>
      <xdr:col>7</xdr:col>
      <xdr:colOff>-363960</xdr:colOff>
      <xdr:row>124</xdr:row>
      <xdr:rowOff>0</xdr:rowOff>
    </xdr:to>
    <xdr:sp macro="" textlink="">
      <xdr:nvSpPr>
        <xdr:cNvPr id="517" name="Option Button 516">
          <a:extLst>
            <a:ext uri="{FF2B5EF4-FFF2-40B4-BE49-F238E27FC236}">
              <a16:creationId xmlns:a16="http://schemas.microsoft.com/office/drawing/2014/main" id="{00000000-0008-0000-3200-00000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8" name="Option Button 517">
          <a:extLst>
            <a:ext uri="{FF2B5EF4-FFF2-40B4-BE49-F238E27FC236}">
              <a16:creationId xmlns:a16="http://schemas.microsoft.com/office/drawing/2014/main" id="{00000000-0008-0000-3200-00000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9" name="Option Button 518">
          <a:extLst>
            <a:ext uri="{FF2B5EF4-FFF2-40B4-BE49-F238E27FC236}">
              <a16:creationId xmlns:a16="http://schemas.microsoft.com/office/drawing/2014/main" id="{00000000-0008-0000-3200-00000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0" name="Option Button 519">
          <a:extLst>
            <a:ext uri="{FF2B5EF4-FFF2-40B4-BE49-F238E27FC236}">
              <a16:creationId xmlns:a16="http://schemas.microsoft.com/office/drawing/2014/main" id="{00000000-0008-0000-3200-00000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1" name="Group Box 520" descr="Group Box 5">
          <a:extLst>
            <a:ext uri="{FF2B5EF4-FFF2-40B4-BE49-F238E27FC236}">
              <a16:creationId xmlns:a16="http://schemas.microsoft.com/office/drawing/2014/main" id="{00000000-0008-0000-3200-000009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124</xdr:row>
      <xdr:rowOff>28440</xdr:rowOff>
    </xdr:from>
    <xdr:to>
      <xdr:col>7</xdr:col>
      <xdr:colOff>-363960</xdr:colOff>
      <xdr:row>125</xdr:row>
      <xdr:rowOff>0</xdr:rowOff>
    </xdr:to>
    <xdr:sp macro="" textlink="">
      <xdr:nvSpPr>
        <xdr:cNvPr id="522" name="Option Button 521">
          <a:extLst>
            <a:ext uri="{FF2B5EF4-FFF2-40B4-BE49-F238E27FC236}">
              <a16:creationId xmlns:a16="http://schemas.microsoft.com/office/drawing/2014/main" id="{00000000-0008-0000-3200-00000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3" name="Option Button 522">
          <a:extLst>
            <a:ext uri="{FF2B5EF4-FFF2-40B4-BE49-F238E27FC236}">
              <a16:creationId xmlns:a16="http://schemas.microsoft.com/office/drawing/2014/main" id="{00000000-0008-0000-3200-00000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4" name="Option Button 523">
          <a:extLst>
            <a:ext uri="{FF2B5EF4-FFF2-40B4-BE49-F238E27FC236}">
              <a16:creationId xmlns:a16="http://schemas.microsoft.com/office/drawing/2014/main" id="{00000000-0008-0000-3200-00000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5" name="Option Button 524">
          <a:extLst>
            <a:ext uri="{FF2B5EF4-FFF2-40B4-BE49-F238E27FC236}">
              <a16:creationId xmlns:a16="http://schemas.microsoft.com/office/drawing/2014/main" id="{00000000-0008-0000-3200-00000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6" name="Group Box 525" descr="Group Box 5">
          <a:extLst>
            <a:ext uri="{FF2B5EF4-FFF2-40B4-BE49-F238E27FC236}">
              <a16:creationId xmlns:a16="http://schemas.microsoft.com/office/drawing/2014/main" id="{00000000-0008-0000-3200-00000E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125</xdr:row>
      <xdr:rowOff>28440</xdr:rowOff>
    </xdr:from>
    <xdr:to>
      <xdr:col>7</xdr:col>
      <xdr:colOff>-363960</xdr:colOff>
      <xdr:row>126</xdr:row>
      <xdr:rowOff>0</xdr:rowOff>
    </xdr:to>
    <xdr:sp macro="" textlink="">
      <xdr:nvSpPr>
        <xdr:cNvPr id="527" name="Option Button 526">
          <a:extLst>
            <a:ext uri="{FF2B5EF4-FFF2-40B4-BE49-F238E27FC236}">
              <a16:creationId xmlns:a16="http://schemas.microsoft.com/office/drawing/2014/main" id="{00000000-0008-0000-3200-00000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8" name="Option Button 527">
          <a:extLst>
            <a:ext uri="{FF2B5EF4-FFF2-40B4-BE49-F238E27FC236}">
              <a16:creationId xmlns:a16="http://schemas.microsoft.com/office/drawing/2014/main" id="{00000000-0008-0000-3200-00001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9" name="Option Button 528">
          <a:extLst>
            <a:ext uri="{FF2B5EF4-FFF2-40B4-BE49-F238E27FC236}">
              <a16:creationId xmlns:a16="http://schemas.microsoft.com/office/drawing/2014/main" id="{00000000-0008-0000-3200-00001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0" name="Option Button 529">
          <a:extLst>
            <a:ext uri="{FF2B5EF4-FFF2-40B4-BE49-F238E27FC236}">
              <a16:creationId xmlns:a16="http://schemas.microsoft.com/office/drawing/2014/main" id="{00000000-0008-0000-3200-00001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1" name="Group Box 530" descr="Group Box 5">
          <a:extLst>
            <a:ext uri="{FF2B5EF4-FFF2-40B4-BE49-F238E27FC236}">
              <a16:creationId xmlns:a16="http://schemas.microsoft.com/office/drawing/2014/main" id="{00000000-0008-0000-3200-000013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126</xdr:row>
      <xdr:rowOff>28440</xdr:rowOff>
    </xdr:from>
    <xdr:to>
      <xdr:col>7</xdr:col>
      <xdr:colOff>-363960</xdr:colOff>
      <xdr:row>127</xdr:row>
      <xdr:rowOff>0</xdr:rowOff>
    </xdr:to>
    <xdr:sp macro="" textlink="">
      <xdr:nvSpPr>
        <xdr:cNvPr id="532" name="Option Button 531">
          <a:extLst>
            <a:ext uri="{FF2B5EF4-FFF2-40B4-BE49-F238E27FC236}">
              <a16:creationId xmlns:a16="http://schemas.microsoft.com/office/drawing/2014/main" id="{00000000-0008-0000-3200-00001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3" name="Option Button 532">
          <a:extLst>
            <a:ext uri="{FF2B5EF4-FFF2-40B4-BE49-F238E27FC236}">
              <a16:creationId xmlns:a16="http://schemas.microsoft.com/office/drawing/2014/main" id="{00000000-0008-0000-3200-00001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4" name="Option Button 533">
          <a:extLst>
            <a:ext uri="{FF2B5EF4-FFF2-40B4-BE49-F238E27FC236}">
              <a16:creationId xmlns:a16="http://schemas.microsoft.com/office/drawing/2014/main" id="{00000000-0008-0000-3200-00001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5" name="Option Button 534">
          <a:extLst>
            <a:ext uri="{FF2B5EF4-FFF2-40B4-BE49-F238E27FC236}">
              <a16:creationId xmlns:a16="http://schemas.microsoft.com/office/drawing/2014/main" id="{00000000-0008-0000-3200-00001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6" name="Group Box 535" descr="Group Box 5">
          <a:extLst>
            <a:ext uri="{FF2B5EF4-FFF2-40B4-BE49-F238E27FC236}">
              <a16:creationId xmlns:a16="http://schemas.microsoft.com/office/drawing/2014/main" id="{00000000-0008-0000-3200-000018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127</xdr:row>
      <xdr:rowOff>28440</xdr:rowOff>
    </xdr:from>
    <xdr:to>
      <xdr:col>7</xdr:col>
      <xdr:colOff>-363960</xdr:colOff>
      <xdr:row>128</xdr:row>
      <xdr:rowOff>0</xdr:rowOff>
    </xdr:to>
    <xdr:sp macro="" textlink="">
      <xdr:nvSpPr>
        <xdr:cNvPr id="537" name="Option Button 536">
          <a:extLst>
            <a:ext uri="{FF2B5EF4-FFF2-40B4-BE49-F238E27FC236}">
              <a16:creationId xmlns:a16="http://schemas.microsoft.com/office/drawing/2014/main" id="{00000000-0008-0000-3200-00001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8" name="Option Button 537">
          <a:extLst>
            <a:ext uri="{FF2B5EF4-FFF2-40B4-BE49-F238E27FC236}">
              <a16:creationId xmlns:a16="http://schemas.microsoft.com/office/drawing/2014/main" id="{00000000-0008-0000-3200-00001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9" name="Option Button 538">
          <a:extLst>
            <a:ext uri="{FF2B5EF4-FFF2-40B4-BE49-F238E27FC236}">
              <a16:creationId xmlns:a16="http://schemas.microsoft.com/office/drawing/2014/main" id="{00000000-0008-0000-3200-00001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0" name="Option Button 539">
          <a:extLst>
            <a:ext uri="{FF2B5EF4-FFF2-40B4-BE49-F238E27FC236}">
              <a16:creationId xmlns:a16="http://schemas.microsoft.com/office/drawing/2014/main" id="{00000000-0008-0000-3200-00001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1" name="Group Box 540" descr="Group Box 5">
          <a:extLst>
            <a:ext uri="{FF2B5EF4-FFF2-40B4-BE49-F238E27FC236}">
              <a16:creationId xmlns:a16="http://schemas.microsoft.com/office/drawing/2014/main" id="{00000000-0008-0000-3200-00001D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128</xdr:row>
      <xdr:rowOff>28440</xdr:rowOff>
    </xdr:from>
    <xdr:to>
      <xdr:col>7</xdr:col>
      <xdr:colOff>-363960</xdr:colOff>
      <xdr:row>129</xdr:row>
      <xdr:rowOff>0</xdr:rowOff>
    </xdr:to>
    <xdr:sp macro="" textlink="">
      <xdr:nvSpPr>
        <xdr:cNvPr id="542" name="Option Button 541">
          <a:extLst>
            <a:ext uri="{FF2B5EF4-FFF2-40B4-BE49-F238E27FC236}">
              <a16:creationId xmlns:a16="http://schemas.microsoft.com/office/drawing/2014/main" id="{00000000-0008-0000-3200-00001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3" name="Option Button 542">
          <a:extLst>
            <a:ext uri="{FF2B5EF4-FFF2-40B4-BE49-F238E27FC236}">
              <a16:creationId xmlns:a16="http://schemas.microsoft.com/office/drawing/2014/main" id="{00000000-0008-0000-3200-00001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4" name="Option Button 543">
          <a:extLst>
            <a:ext uri="{FF2B5EF4-FFF2-40B4-BE49-F238E27FC236}">
              <a16:creationId xmlns:a16="http://schemas.microsoft.com/office/drawing/2014/main" id="{00000000-0008-0000-3200-00002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5" name="Option Button 544">
          <a:extLst>
            <a:ext uri="{FF2B5EF4-FFF2-40B4-BE49-F238E27FC236}">
              <a16:creationId xmlns:a16="http://schemas.microsoft.com/office/drawing/2014/main" id="{00000000-0008-0000-3200-00002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6" name="Group Box 545" descr="Group Box 5">
          <a:extLst>
            <a:ext uri="{FF2B5EF4-FFF2-40B4-BE49-F238E27FC236}">
              <a16:creationId xmlns:a16="http://schemas.microsoft.com/office/drawing/2014/main" id="{00000000-0008-0000-3200-000022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129</xdr:row>
      <xdr:rowOff>28440</xdr:rowOff>
    </xdr:from>
    <xdr:to>
      <xdr:col>7</xdr:col>
      <xdr:colOff>-363960</xdr:colOff>
      <xdr:row>130</xdr:row>
      <xdr:rowOff>0</xdr:rowOff>
    </xdr:to>
    <xdr:sp macro="" textlink="">
      <xdr:nvSpPr>
        <xdr:cNvPr id="547" name="Option Button 546">
          <a:extLst>
            <a:ext uri="{FF2B5EF4-FFF2-40B4-BE49-F238E27FC236}">
              <a16:creationId xmlns:a16="http://schemas.microsoft.com/office/drawing/2014/main" id="{00000000-0008-0000-3200-00002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8" name="Option Button 547">
          <a:extLst>
            <a:ext uri="{FF2B5EF4-FFF2-40B4-BE49-F238E27FC236}">
              <a16:creationId xmlns:a16="http://schemas.microsoft.com/office/drawing/2014/main" id="{00000000-0008-0000-3200-00002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9" name="Option Button 548">
          <a:extLst>
            <a:ext uri="{FF2B5EF4-FFF2-40B4-BE49-F238E27FC236}">
              <a16:creationId xmlns:a16="http://schemas.microsoft.com/office/drawing/2014/main" id="{00000000-0008-0000-3200-00002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0" name="Option Button 549">
          <a:extLst>
            <a:ext uri="{FF2B5EF4-FFF2-40B4-BE49-F238E27FC236}">
              <a16:creationId xmlns:a16="http://schemas.microsoft.com/office/drawing/2014/main" id="{00000000-0008-0000-3200-00002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1" name="Group Box 550" descr="Group Box 5">
          <a:extLst>
            <a:ext uri="{FF2B5EF4-FFF2-40B4-BE49-F238E27FC236}">
              <a16:creationId xmlns:a16="http://schemas.microsoft.com/office/drawing/2014/main" id="{00000000-0008-0000-3200-000027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130</xdr:row>
      <xdr:rowOff>28440</xdr:rowOff>
    </xdr:from>
    <xdr:to>
      <xdr:col>7</xdr:col>
      <xdr:colOff>-363960</xdr:colOff>
      <xdr:row>131</xdr:row>
      <xdr:rowOff>0</xdr:rowOff>
    </xdr:to>
    <xdr:sp macro="" textlink="">
      <xdr:nvSpPr>
        <xdr:cNvPr id="552" name="Option Button 551">
          <a:extLst>
            <a:ext uri="{FF2B5EF4-FFF2-40B4-BE49-F238E27FC236}">
              <a16:creationId xmlns:a16="http://schemas.microsoft.com/office/drawing/2014/main" id="{00000000-0008-0000-3200-00002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3" name="Option Button 552">
          <a:extLst>
            <a:ext uri="{FF2B5EF4-FFF2-40B4-BE49-F238E27FC236}">
              <a16:creationId xmlns:a16="http://schemas.microsoft.com/office/drawing/2014/main" id="{00000000-0008-0000-3200-00002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4" name="Option Button 553">
          <a:extLst>
            <a:ext uri="{FF2B5EF4-FFF2-40B4-BE49-F238E27FC236}">
              <a16:creationId xmlns:a16="http://schemas.microsoft.com/office/drawing/2014/main" id="{00000000-0008-0000-3200-00002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5" name="Option Button 554">
          <a:extLst>
            <a:ext uri="{FF2B5EF4-FFF2-40B4-BE49-F238E27FC236}">
              <a16:creationId xmlns:a16="http://schemas.microsoft.com/office/drawing/2014/main" id="{00000000-0008-0000-3200-00002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6" name="Group Box 555" descr="Group Box 5">
          <a:extLst>
            <a:ext uri="{FF2B5EF4-FFF2-40B4-BE49-F238E27FC236}">
              <a16:creationId xmlns:a16="http://schemas.microsoft.com/office/drawing/2014/main" id="{00000000-0008-0000-3200-00002C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131</xdr:row>
      <xdr:rowOff>28440</xdr:rowOff>
    </xdr:from>
    <xdr:to>
      <xdr:col>7</xdr:col>
      <xdr:colOff>-363960</xdr:colOff>
      <xdr:row>132</xdr:row>
      <xdr:rowOff>0</xdr:rowOff>
    </xdr:to>
    <xdr:sp macro="" textlink="">
      <xdr:nvSpPr>
        <xdr:cNvPr id="557" name="Option Button 556">
          <a:extLst>
            <a:ext uri="{FF2B5EF4-FFF2-40B4-BE49-F238E27FC236}">
              <a16:creationId xmlns:a16="http://schemas.microsoft.com/office/drawing/2014/main" id="{00000000-0008-0000-3200-00002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8" name="Option Button 557">
          <a:extLst>
            <a:ext uri="{FF2B5EF4-FFF2-40B4-BE49-F238E27FC236}">
              <a16:creationId xmlns:a16="http://schemas.microsoft.com/office/drawing/2014/main" id="{00000000-0008-0000-3200-00002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9" name="Option Button 558">
          <a:extLst>
            <a:ext uri="{FF2B5EF4-FFF2-40B4-BE49-F238E27FC236}">
              <a16:creationId xmlns:a16="http://schemas.microsoft.com/office/drawing/2014/main" id="{00000000-0008-0000-3200-00002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0" name="Option Button 559">
          <a:extLst>
            <a:ext uri="{FF2B5EF4-FFF2-40B4-BE49-F238E27FC236}">
              <a16:creationId xmlns:a16="http://schemas.microsoft.com/office/drawing/2014/main" id="{00000000-0008-0000-3200-00003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1" name="Group Box 560" descr="Group Box 5">
          <a:extLst>
            <a:ext uri="{FF2B5EF4-FFF2-40B4-BE49-F238E27FC236}">
              <a16:creationId xmlns:a16="http://schemas.microsoft.com/office/drawing/2014/main" id="{00000000-0008-0000-3200-000031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132</xdr:row>
      <xdr:rowOff>28440</xdr:rowOff>
    </xdr:from>
    <xdr:to>
      <xdr:col>7</xdr:col>
      <xdr:colOff>-363960</xdr:colOff>
      <xdr:row>133</xdr:row>
      <xdr:rowOff>0</xdr:rowOff>
    </xdr:to>
    <xdr:sp macro="" textlink="">
      <xdr:nvSpPr>
        <xdr:cNvPr id="562" name="Option Button 561">
          <a:extLst>
            <a:ext uri="{FF2B5EF4-FFF2-40B4-BE49-F238E27FC236}">
              <a16:creationId xmlns:a16="http://schemas.microsoft.com/office/drawing/2014/main" id="{00000000-0008-0000-3200-00003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3" name="Option Button 562">
          <a:extLst>
            <a:ext uri="{FF2B5EF4-FFF2-40B4-BE49-F238E27FC236}">
              <a16:creationId xmlns:a16="http://schemas.microsoft.com/office/drawing/2014/main" id="{00000000-0008-0000-3200-00003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4" name="Option Button 563">
          <a:extLst>
            <a:ext uri="{FF2B5EF4-FFF2-40B4-BE49-F238E27FC236}">
              <a16:creationId xmlns:a16="http://schemas.microsoft.com/office/drawing/2014/main" id="{00000000-0008-0000-3200-00003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5" name="Option Button 564">
          <a:extLst>
            <a:ext uri="{FF2B5EF4-FFF2-40B4-BE49-F238E27FC236}">
              <a16:creationId xmlns:a16="http://schemas.microsoft.com/office/drawing/2014/main" id="{00000000-0008-0000-3200-00003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6" name="Group Box 565" descr="Group Box 5">
          <a:extLst>
            <a:ext uri="{FF2B5EF4-FFF2-40B4-BE49-F238E27FC236}">
              <a16:creationId xmlns:a16="http://schemas.microsoft.com/office/drawing/2014/main" id="{00000000-0008-0000-3200-000036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133</xdr:row>
      <xdr:rowOff>28440</xdr:rowOff>
    </xdr:from>
    <xdr:to>
      <xdr:col>7</xdr:col>
      <xdr:colOff>-363960</xdr:colOff>
      <xdr:row>134</xdr:row>
      <xdr:rowOff>0</xdr:rowOff>
    </xdr:to>
    <xdr:sp macro="" textlink="">
      <xdr:nvSpPr>
        <xdr:cNvPr id="567" name="Option Button 566">
          <a:extLst>
            <a:ext uri="{FF2B5EF4-FFF2-40B4-BE49-F238E27FC236}">
              <a16:creationId xmlns:a16="http://schemas.microsoft.com/office/drawing/2014/main" id="{00000000-0008-0000-3200-00003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8" name="Option Button 567">
          <a:extLst>
            <a:ext uri="{FF2B5EF4-FFF2-40B4-BE49-F238E27FC236}">
              <a16:creationId xmlns:a16="http://schemas.microsoft.com/office/drawing/2014/main" id="{00000000-0008-0000-3200-00003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9" name="Option Button 568">
          <a:extLst>
            <a:ext uri="{FF2B5EF4-FFF2-40B4-BE49-F238E27FC236}">
              <a16:creationId xmlns:a16="http://schemas.microsoft.com/office/drawing/2014/main" id="{00000000-0008-0000-3200-00003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0" name="Option Button 569">
          <a:extLst>
            <a:ext uri="{FF2B5EF4-FFF2-40B4-BE49-F238E27FC236}">
              <a16:creationId xmlns:a16="http://schemas.microsoft.com/office/drawing/2014/main" id="{00000000-0008-0000-3200-00003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1" name="Group Box 570" descr="Group Box 5">
          <a:extLst>
            <a:ext uri="{FF2B5EF4-FFF2-40B4-BE49-F238E27FC236}">
              <a16:creationId xmlns:a16="http://schemas.microsoft.com/office/drawing/2014/main" id="{00000000-0008-0000-3200-00003B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134</xdr:row>
      <xdr:rowOff>28440</xdr:rowOff>
    </xdr:from>
    <xdr:to>
      <xdr:col>7</xdr:col>
      <xdr:colOff>-363960</xdr:colOff>
      <xdr:row>135</xdr:row>
      <xdr:rowOff>0</xdr:rowOff>
    </xdr:to>
    <xdr:sp macro="" textlink="">
      <xdr:nvSpPr>
        <xdr:cNvPr id="572" name="Option Button 571">
          <a:extLst>
            <a:ext uri="{FF2B5EF4-FFF2-40B4-BE49-F238E27FC236}">
              <a16:creationId xmlns:a16="http://schemas.microsoft.com/office/drawing/2014/main" id="{00000000-0008-0000-3200-00003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3" name="Option Button 572">
          <a:extLst>
            <a:ext uri="{FF2B5EF4-FFF2-40B4-BE49-F238E27FC236}">
              <a16:creationId xmlns:a16="http://schemas.microsoft.com/office/drawing/2014/main" id="{00000000-0008-0000-3200-00003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4" name="Option Button 573">
          <a:extLst>
            <a:ext uri="{FF2B5EF4-FFF2-40B4-BE49-F238E27FC236}">
              <a16:creationId xmlns:a16="http://schemas.microsoft.com/office/drawing/2014/main" id="{00000000-0008-0000-3200-00003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5" name="Option Button 574">
          <a:extLst>
            <a:ext uri="{FF2B5EF4-FFF2-40B4-BE49-F238E27FC236}">
              <a16:creationId xmlns:a16="http://schemas.microsoft.com/office/drawing/2014/main" id="{00000000-0008-0000-3200-00003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6" name="Group Box 575" descr="Group Box 5">
          <a:extLst>
            <a:ext uri="{FF2B5EF4-FFF2-40B4-BE49-F238E27FC236}">
              <a16:creationId xmlns:a16="http://schemas.microsoft.com/office/drawing/2014/main" id="{00000000-0008-0000-3200-000040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135</xdr:row>
      <xdr:rowOff>28440</xdr:rowOff>
    </xdr:from>
    <xdr:to>
      <xdr:col>7</xdr:col>
      <xdr:colOff>-363960</xdr:colOff>
      <xdr:row>136</xdr:row>
      <xdr:rowOff>0</xdr:rowOff>
    </xdr:to>
    <xdr:sp macro="" textlink="">
      <xdr:nvSpPr>
        <xdr:cNvPr id="577" name="Option Button 576">
          <a:extLst>
            <a:ext uri="{FF2B5EF4-FFF2-40B4-BE49-F238E27FC236}">
              <a16:creationId xmlns:a16="http://schemas.microsoft.com/office/drawing/2014/main" id="{00000000-0008-0000-3200-00004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8" name="Option Button 577">
          <a:extLst>
            <a:ext uri="{FF2B5EF4-FFF2-40B4-BE49-F238E27FC236}">
              <a16:creationId xmlns:a16="http://schemas.microsoft.com/office/drawing/2014/main" id="{00000000-0008-0000-3200-00004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9" name="Option Button 578">
          <a:extLst>
            <a:ext uri="{FF2B5EF4-FFF2-40B4-BE49-F238E27FC236}">
              <a16:creationId xmlns:a16="http://schemas.microsoft.com/office/drawing/2014/main" id="{00000000-0008-0000-3200-00004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0" name="Option Button 579">
          <a:extLst>
            <a:ext uri="{FF2B5EF4-FFF2-40B4-BE49-F238E27FC236}">
              <a16:creationId xmlns:a16="http://schemas.microsoft.com/office/drawing/2014/main" id="{00000000-0008-0000-3200-00004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1" name="Group Box 580" descr="Group Box 5">
          <a:extLst>
            <a:ext uri="{FF2B5EF4-FFF2-40B4-BE49-F238E27FC236}">
              <a16:creationId xmlns:a16="http://schemas.microsoft.com/office/drawing/2014/main" id="{00000000-0008-0000-3200-000045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136</xdr:row>
      <xdr:rowOff>28440</xdr:rowOff>
    </xdr:from>
    <xdr:to>
      <xdr:col>7</xdr:col>
      <xdr:colOff>-363960</xdr:colOff>
      <xdr:row>137</xdr:row>
      <xdr:rowOff>0</xdr:rowOff>
    </xdr:to>
    <xdr:sp macro="" textlink="">
      <xdr:nvSpPr>
        <xdr:cNvPr id="582" name="Option Button 581">
          <a:extLst>
            <a:ext uri="{FF2B5EF4-FFF2-40B4-BE49-F238E27FC236}">
              <a16:creationId xmlns:a16="http://schemas.microsoft.com/office/drawing/2014/main" id="{00000000-0008-0000-3200-00004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3" name="Option Button 582">
          <a:extLst>
            <a:ext uri="{FF2B5EF4-FFF2-40B4-BE49-F238E27FC236}">
              <a16:creationId xmlns:a16="http://schemas.microsoft.com/office/drawing/2014/main" id="{00000000-0008-0000-3200-00004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4" name="Option Button 583">
          <a:extLst>
            <a:ext uri="{FF2B5EF4-FFF2-40B4-BE49-F238E27FC236}">
              <a16:creationId xmlns:a16="http://schemas.microsoft.com/office/drawing/2014/main" id="{00000000-0008-0000-3200-00004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5" name="Option Button 584">
          <a:extLst>
            <a:ext uri="{FF2B5EF4-FFF2-40B4-BE49-F238E27FC236}">
              <a16:creationId xmlns:a16="http://schemas.microsoft.com/office/drawing/2014/main" id="{00000000-0008-0000-3200-00004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6" name="Group Box 585" descr="Group Box 5">
          <a:extLst>
            <a:ext uri="{FF2B5EF4-FFF2-40B4-BE49-F238E27FC236}">
              <a16:creationId xmlns:a16="http://schemas.microsoft.com/office/drawing/2014/main" id="{00000000-0008-0000-3200-00004A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137</xdr:row>
      <xdr:rowOff>28440</xdr:rowOff>
    </xdr:from>
    <xdr:to>
      <xdr:col>7</xdr:col>
      <xdr:colOff>-363960</xdr:colOff>
      <xdr:row>138</xdr:row>
      <xdr:rowOff>0</xdr:rowOff>
    </xdr:to>
    <xdr:sp macro="" textlink="">
      <xdr:nvSpPr>
        <xdr:cNvPr id="587" name="Option Button 586">
          <a:extLst>
            <a:ext uri="{FF2B5EF4-FFF2-40B4-BE49-F238E27FC236}">
              <a16:creationId xmlns:a16="http://schemas.microsoft.com/office/drawing/2014/main" id="{00000000-0008-0000-3200-00004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8" name="Option Button 587">
          <a:extLst>
            <a:ext uri="{FF2B5EF4-FFF2-40B4-BE49-F238E27FC236}">
              <a16:creationId xmlns:a16="http://schemas.microsoft.com/office/drawing/2014/main" id="{00000000-0008-0000-3200-00004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9" name="Option Button 588">
          <a:extLst>
            <a:ext uri="{FF2B5EF4-FFF2-40B4-BE49-F238E27FC236}">
              <a16:creationId xmlns:a16="http://schemas.microsoft.com/office/drawing/2014/main" id="{00000000-0008-0000-3200-00004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0" name="Option Button 589">
          <a:extLst>
            <a:ext uri="{FF2B5EF4-FFF2-40B4-BE49-F238E27FC236}">
              <a16:creationId xmlns:a16="http://schemas.microsoft.com/office/drawing/2014/main" id="{00000000-0008-0000-3200-00004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1" name="Group Box 590" descr="Group Box 5">
          <a:extLst>
            <a:ext uri="{FF2B5EF4-FFF2-40B4-BE49-F238E27FC236}">
              <a16:creationId xmlns:a16="http://schemas.microsoft.com/office/drawing/2014/main" id="{00000000-0008-0000-3200-00004F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138</xdr:row>
      <xdr:rowOff>28440</xdr:rowOff>
    </xdr:from>
    <xdr:to>
      <xdr:col>7</xdr:col>
      <xdr:colOff>-363960</xdr:colOff>
      <xdr:row>139</xdr:row>
      <xdr:rowOff>0</xdr:rowOff>
    </xdr:to>
    <xdr:sp macro="" textlink="">
      <xdr:nvSpPr>
        <xdr:cNvPr id="592" name="Option Button 591">
          <a:extLst>
            <a:ext uri="{FF2B5EF4-FFF2-40B4-BE49-F238E27FC236}">
              <a16:creationId xmlns:a16="http://schemas.microsoft.com/office/drawing/2014/main" id="{00000000-0008-0000-3200-00005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3" name="Option Button 592">
          <a:extLst>
            <a:ext uri="{FF2B5EF4-FFF2-40B4-BE49-F238E27FC236}">
              <a16:creationId xmlns:a16="http://schemas.microsoft.com/office/drawing/2014/main" id="{00000000-0008-0000-3200-00005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4" name="Option Button 593">
          <a:extLst>
            <a:ext uri="{FF2B5EF4-FFF2-40B4-BE49-F238E27FC236}">
              <a16:creationId xmlns:a16="http://schemas.microsoft.com/office/drawing/2014/main" id="{00000000-0008-0000-3200-00005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5" name="Option Button 594">
          <a:extLst>
            <a:ext uri="{FF2B5EF4-FFF2-40B4-BE49-F238E27FC236}">
              <a16:creationId xmlns:a16="http://schemas.microsoft.com/office/drawing/2014/main" id="{00000000-0008-0000-3200-00005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6" name="Group Box 595" descr="Group Box 5">
          <a:extLst>
            <a:ext uri="{FF2B5EF4-FFF2-40B4-BE49-F238E27FC236}">
              <a16:creationId xmlns:a16="http://schemas.microsoft.com/office/drawing/2014/main" id="{00000000-0008-0000-3200-000054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139</xdr:row>
      <xdr:rowOff>28440</xdr:rowOff>
    </xdr:from>
    <xdr:to>
      <xdr:col>7</xdr:col>
      <xdr:colOff>-363960</xdr:colOff>
      <xdr:row>140</xdr:row>
      <xdr:rowOff>0</xdr:rowOff>
    </xdr:to>
    <xdr:sp macro="" textlink="">
      <xdr:nvSpPr>
        <xdr:cNvPr id="597" name="Option Button 596">
          <a:extLst>
            <a:ext uri="{FF2B5EF4-FFF2-40B4-BE49-F238E27FC236}">
              <a16:creationId xmlns:a16="http://schemas.microsoft.com/office/drawing/2014/main" id="{00000000-0008-0000-3200-00005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8" name="Option Button 597">
          <a:extLst>
            <a:ext uri="{FF2B5EF4-FFF2-40B4-BE49-F238E27FC236}">
              <a16:creationId xmlns:a16="http://schemas.microsoft.com/office/drawing/2014/main" id="{00000000-0008-0000-3200-00005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9" name="Option Button 598">
          <a:extLst>
            <a:ext uri="{FF2B5EF4-FFF2-40B4-BE49-F238E27FC236}">
              <a16:creationId xmlns:a16="http://schemas.microsoft.com/office/drawing/2014/main" id="{00000000-0008-0000-3200-00005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0" name="Option Button 599">
          <a:extLst>
            <a:ext uri="{FF2B5EF4-FFF2-40B4-BE49-F238E27FC236}">
              <a16:creationId xmlns:a16="http://schemas.microsoft.com/office/drawing/2014/main" id="{00000000-0008-0000-3200-00005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1" name="Group Box 600" descr="Group Box 5">
          <a:extLst>
            <a:ext uri="{FF2B5EF4-FFF2-40B4-BE49-F238E27FC236}">
              <a16:creationId xmlns:a16="http://schemas.microsoft.com/office/drawing/2014/main" id="{00000000-0008-0000-3200-000059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140</xdr:row>
      <xdr:rowOff>28440</xdr:rowOff>
    </xdr:from>
    <xdr:to>
      <xdr:col>7</xdr:col>
      <xdr:colOff>-363960</xdr:colOff>
      <xdr:row>141</xdr:row>
      <xdr:rowOff>0</xdr:rowOff>
    </xdr:to>
    <xdr:sp macro="" textlink="">
      <xdr:nvSpPr>
        <xdr:cNvPr id="602" name="Option Button 601">
          <a:extLst>
            <a:ext uri="{FF2B5EF4-FFF2-40B4-BE49-F238E27FC236}">
              <a16:creationId xmlns:a16="http://schemas.microsoft.com/office/drawing/2014/main" id="{00000000-0008-0000-3200-00005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3" name="Option Button 602">
          <a:extLst>
            <a:ext uri="{FF2B5EF4-FFF2-40B4-BE49-F238E27FC236}">
              <a16:creationId xmlns:a16="http://schemas.microsoft.com/office/drawing/2014/main" id="{00000000-0008-0000-3200-00005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4" name="Option Button 603">
          <a:extLst>
            <a:ext uri="{FF2B5EF4-FFF2-40B4-BE49-F238E27FC236}">
              <a16:creationId xmlns:a16="http://schemas.microsoft.com/office/drawing/2014/main" id="{00000000-0008-0000-3200-00005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5" name="Option Button 604">
          <a:extLst>
            <a:ext uri="{FF2B5EF4-FFF2-40B4-BE49-F238E27FC236}">
              <a16:creationId xmlns:a16="http://schemas.microsoft.com/office/drawing/2014/main" id="{00000000-0008-0000-3200-00005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6" name="Group Box 605" descr="Group Box 5">
          <a:extLst>
            <a:ext uri="{FF2B5EF4-FFF2-40B4-BE49-F238E27FC236}">
              <a16:creationId xmlns:a16="http://schemas.microsoft.com/office/drawing/2014/main" id="{00000000-0008-0000-3200-00005E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141</xdr:row>
      <xdr:rowOff>28440</xdr:rowOff>
    </xdr:from>
    <xdr:to>
      <xdr:col>7</xdr:col>
      <xdr:colOff>-363960</xdr:colOff>
      <xdr:row>142</xdr:row>
      <xdr:rowOff>0</xdr:rowOff>
    </xdr:to>
    <xdr:sp macro="" textlink="">
      <xdr:nvSpPr>
        <xdr:cNvPr id="607" name="Option Button 606">
          <a:extLst>
            <a:ext uri="{FF2B5EF4-FFF2-40B4-BE49-F238E27FC236}">
              <a16:creationId xmlns:a16="http://schemas.microsoft.com/office/drawing/2014/main" id="{00000000-0008-0000-3200-00005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8" name="Option Button 607">
          <a:extLst>
            <a:ext uri="{FF2B5EF4-FFF2-40B4-BE49-F238E27FC236}">
              <a16:creationId xmlns:a16="http://schemas.microsoft.com/office/drawing/2014/main" id="{00000000-0008-0000-3200-00006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9" name="Option Button 608">
          <a:extLst>
            <a:ext uri="{FF2B5EF4-FFF2-40B4-BE49-F238E27FC236}">
              <a16:creationId xmlns:a16="http://schemas.microsoft.com/office/drawing/2014/main" id="{00000000-0008-0000-3200-00006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0" name="Option Button 609">
          <a:extLst>
            <a:ext uri="{FF2B5EF4-FFF2-40B4-BE49-F238E27FC236}">
              <a16:creationId xmlns:a16="http://schemas.microsoft.com/office/drawing/2014/main" id="{00000000-0008-0000-3200-00006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1" name="Group Box 610" descr="Group Box 5">
          <a:extLst>
            <a:ext uri="{FF2B5EF4-FFF2-40B4-BE49-F238E27FC236}">
              <a16:creationId xmlns:a16="http://schemas.microsoft.com/office/drawing/2014/main" id="{00000000-0008-0000-3200-000063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142</xdr:row>
      <xdr:rowOff>28440</xdr:rowOff>
    </xdr:from>
    <xdr:to>
      <xdr:col>7</xdr:col>
      <xdr:colOff>-363960</xdr:colOff>
      <xdr:row>143</xdr:row>
      <xdr:rowOff>0</xdr:rowOff>
    </xdr:to>
    <xdr:sp macro="" textlink="">
      <xdr:nvSpPr>
        <xdr:cNvPr id="612" name="Option Button 611">
          <a:extLst>
            <a:ext uri="{FF2B5EF4-FFF2-40B4-BE49-F238E27FC236}">
              <a16:creationId xmlns:a16="http://schemas.microsoft.com/office/drawing/2014/main" id="{00000000-0008-0000-3200-00006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3" name="Option Button 612">
          <a:extLst>
            <a:ext uri="{FF2B5EF4-FFF2-40B4-BE49-F238E27FC236}">
              <a16:creationId xmlns:a16="http://schemas.microsoft.com/office/drawing/2014/main" id="{00000000-0008-0000-3200-00006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4" name="Option Button 613">
          <a:extLst>
            <a:ext uri="{FF2B5EF4-FFF2-40B4-BE49-F238E27FC236}">
              <a16:creationId xmlns:a16="http://schemas.microsoft.com/office/drawing/2014/main" id="{00000000-0008-0000-3200-00006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5" name="Option Button 614">
          <a:extLst>
            <a:ext uri="{FF2B5EF4-FFF2-40B4-BE49-F238E27FC236}">
              <a16:creationId xmlns:a16="http://schemas.microsoft.com/office/drawing/2014/main" id="{00000000-0008-0000-3200-00006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6" name="Group Box 615" descr="Group Box 5">
          <a:extLst>
            <a:ext uri="{FF2B5EF4-FFF2-40B4-BE49-F238E27FC236}">
              <a16:creationId xmlns:a16="http://schemas.microsoft.com/office/drawing/2014/main" id="{00000000-0008-0000-3200-000068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143</xdr:row>
      <xdr:rowOff>28440</xdr:rowOff>
    </xdr:from>
    <xdr:to>
      <xdr:col>7</xdr:col>
      <xdr:colOff>-363960</xdr:colOff>
      <xdr:row>144</xdr:row>
      <xdr:rowOff>0</xdr:rowOff>
    </xdr:to>
    <xdr:sp macro="" textlink="">
      <xdr:nvSpPr>
        <xdr:cNvPr id="617" name="Option Button 616">
          <a:extLst>
            <a:ext uri="{FF2B5EF4-FFF2-40B4-BE49-F238E27FC236}">
              <a16:creationId xmlns:a16="http://schemas.microsoft.com/office/drawing/2014/main" id="{00000000-0008-0000-3200-00006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8" name="Option Button 617">
          <a:extLst>
            <a:ext uri="{FF2B5EF4-FFF2-40B4-BE49-F238E27FC236}">
              <a16:creationId xmlns:a16="http://schemas.microsoft.com/office/drawing/2014/main" id="{00000000-0008-0000-3200-00006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9" name="Option Button 618">
          <a:extLst>
            <a:ext uri="{FF2B5EF4-FFF2-40B4-BE49-F238E27FC236}">
              <a16:creationId xmlns:a16="http://schemas.microsoft.com/office/drawing/2014/main" id="{00000000-0008-0000-3200-00006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0" name="Option Button 619">
          <a:extLst>
            <a:ext uri="{FF2B5EF4-FFF2-40B4-BE49-F238E27FC236}">
              <a16:creationId xmlns:a16="http://schemas.microsoft.com/office/drawing/2014/main" id="{00000000-0008-0000-3200-00006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1" name="Group Box 620" descr="Group Box 5">
          <a:extLst>
            <a:ext uri="{FF2B5EF4-FFF2-40B4-BE49-F238E27FC236}">
              <a16:creationId xmlns:a16="http://schemas.microsoft.com/office/drawing/2014/main" id="{00000000-0008-0000-3200-00006D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144</xdr:row>
      <xdr:rowOff>28440</xdr:rowOff>
    </xdr:from>
    <xdr:to>
      <xdr:col>7</xdr:col>
      <xdr:colOff>-363960</xdr:colOff>
      <xdr:row>145</xdr:row>
      <xdr:rowOff>0</xdr:rowOff>
    </xdr:to>
    <xdr:sp macro="" textlink="">
      <xdr:nvSpPr>
        <xdr:cNvPr id="622" name="Option Button 621">
          <a:extLst>
            <a:ext uri="{FF2B5EF4-FFF2-40B4-BE49-F238E27FC236}">
              <a16:creationId xmlns:a16="http://schemas.microsoft.com/office/drawing/2014/main" id="{00000000-0008-0000-3200-00006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3" name="Option Button 622">
          <a:extLst>
            <a:ext uri="{FF2B5EF4-FFF2-40B4-BE49-F238E27FC236}">
              <a16:creationId xmlns:a16="http://schemas.microsoft.com/office/drawing/2014/main" id="{00000000-0008-0000-3200-00006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4" name="Option Button 623">
          <a:extLst>
            <a:ext uri="{FF2B5EF4-FFF2-40B4-BE49-F238E27FC236}">
              <a16:creationId xmlns:a16="http://schemas.microsoft.com/office/drawing/2014/main" id="{00000000-0008-0000-3200-00007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5" name="Option Button 624">
          <a:extLst>
            <a:ext uri="{FF2B5EF4-FFF2-40B4-BE49-F238E27FC236}">
              <a16:creationId xmlns:a16="http://schemas.microsoft.com/office/drawing/2014/main" id="{00000000-0008-0000-3200-00007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6" name="Group Box 625" descr="Group Box 5">
          <a:extLst>
            <a:ext uri="{FF2B5EF4-FFF2-40B4-BE49-F238E27FC236}">
              <a16:creationId xmlns:a16="http://schemas.microsoft.com/office/drawing/2014/main" id="{00000000-0008-0000-3200-000072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145</xdr:row>
      <xdr:rowOff>28440</xdr:rowOff>
    </xdr:from>
    <xdr:to>
      <xdr:col>7</xdr:col>
      <xdr:colOff>-363960</xdr:colOff>
      <xdr:row>146</xdr:row>
      <xdr:rowOff>0</xdr:rowOff>
    </xdr:to>
    <xdr:sp macro="" textlink="">
      <xdr:nvSpPr>
        <xdr:cNvPr id="627" name="Option Button 626">
          <a:extLst>
            <a:ext uri="{FF2B5EF4-FFF2-40B4-BE49-F238E27FC236}">
              <a16:creationId xmlns:a16="http://schemas.microsoft.com/office/drawing/2014/main" id="{00000000-0008-0000-3200-00007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8" name="Option Button 627">
          <a:extLst>
            <a:ext uri="{FF2B5EF4-FFF2-40B4-BE49-F238E27FC236}">
              <a16:creationId xmlns:a16="http://schemas.microsoft.com/office/drawing/2014/main" id="{00000000-0008-0000-3200-00007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9" name="Option Button 628">
          <a:extLst>
            <a:ext uri="{FF2B5EF4-FFF2-40B4-BE49-F238E27FC236}">
              <a16:creationId xmlns:a16="http://schemas.microsoft.com/office/drawing/2014/main" id="{00000000-0008-0000-3200-00007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0" name="Option Button 629">
          <a:extLst>
            <a:ext uri="{FF2B5EF4-FFF2-40B4-BE49-F238E27FC236}">
              <a16:creationId xmlns:a16="http://schemas.microsoft.com/office/drawing/2014/main" id="{00000000-0008-0000-3200-00007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1" name="Group Box 630" descr="Group Box 5">
          <a:extLst>
            <a:ext uri="{FF2B5EF4-FFF2-40B4-BE49-F238E27FC236}">
              <a16:creationId xmlns:a16="http://schemas.microsoft.com/office/drawing/2014/main" id="{00000000-0008-0000-3200-000077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146</xdr:row>
      <xdr:rowOff>28440</xdr:rowOff>
    </xdr:from>
    <xdr:to>
      <xdr:col>7</xdr:col>
      <xdr:colOff>-363960</xdr:colOff>
      <xdr:row>147</xdr:row>
      <xdr:rowOff>0</xdr:rowOff>
    </xdr:to>
    <xdr:sp macro="" textlink="">
      <xdr:nvSpPr>
        <xdr:cNvPr id="632" name="Option Button 631">
          <a:extLst>
            <a:ext uri="{FF2B5EF4-FFF2-40B4-BE49-F238E27FC236}">
              <a16:creationId xmlns:a16="http://schemas.microsoft.com/office/drawing/2014/main" id="{00000000-0008-0000-3200-00007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3" name="Option Button 632">
          <a:extLst>
            <a:ext uri="{FF2B5EF4-FFF2-40B4-BE49-F238E27FC236}">
              <a16:creationId xmlns:a16="http://schemas.microsoft.com/office/drawing/2014/main" id="{00000000-0008-0000-3200-00007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4" name="Option Button 633">
          <a:extLst>
            <a:ext uri="{FF2B5EF4-FFF2-40B4-BE49-F238E27FC236}">
              <a16:creationId xmlns:a16="http://schemas.microsoft.com/office/drawing/2014/main" id="{00000000-0008-0000-3200-00007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5" name="Option Button 634">
          <a:extLst>
            <a:ext uri="{FF2B5EF4-FFF2-40B4-BE49-F238E27FC236}">
              <a16:creationId xmlns:a16="http://schemas.microsoft.com/office/drawing/2014/main" id="{00000000-0008-0000-3200-00007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6" name="Group Box 635" descr="Group Box 5">
          <a:extLst>
            <a:ext uri="{FF2B5EF4-FFF2-40B4-BE49-F238E27FC236}">
              <a16:creationId xmlns:a16="http://schemas.microsoft.com/office/drawing/2014/main" id="{00000000-0008-0000-3200-00007C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147</xdr:row>
      <xdr:rowOff>28440</xdr:rowOff>
    </xdr:from>
    <xdr:to>
      <xdr:col>7</xdr:col>
      <xdr:colOff>-363960</xdr:colOff>
      <xdr:row>148</xdr:row>
      <xdr:rowOff>0</xdr:rowOff>
    </xdr:to>
    <xdr:sp macro="" textlink="">
      <xdr:nvSpPr>
        <xdr:cNvPr id="637" name="Option Button 636">
          <a:extLst>
            <a:ext uri="{FF2B5EF4-FFF2-40B4-BE49-F238E27FC236}">
              <a16:creationId xmlns:a16="http://schemas.microsoft.com/office/drawing/2014/main" id="{00000000-0008-0000-3200-00007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8" name="Option Button 637">
          <a:extLst>
            <a:ext uri="{FF2B5EF4-FFF2-40B4-BE49-F238E27FC236}">
              <a16:creationId xmlns:a16="http://schemas.microsoft.com/office/drawing/2014/main" id="{00000000-0008-0000-3200-00007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9" name="Option Button 638">
          <a:extLst>
            <a:ext uri="{FF2B5EF4-FFF2-40B4-BE49-F238E27FC236}">
              <a16:creationId xmlns:a16="http://schemas.microsoft.com/office/drawing/2014/main" id="{00000000-0008-0000-3200-00007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0" name="Option Button 639">
          <a:extLst>
            <a:ext uri="{FF2B5EF4-FFF2-40B4-BE49-F238E27FC236}">
              <a16:creationId xmlns:a16="http://schemas.microsoft.com/office/drawing/2014/main" id="{00000000-0008-0000-3200-00008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1" name="Group Box 640" descr="Group Box 5">
          <a:extLst>
            <a:ext uri="{FF2B5EF4-FFF2-40B4-BE49-F238E27FC236}">
              <a16:creationId xmlns:a16="http://schemas.microsoft.com/office/drawing/2014/main" id="{00000000-0008-0000-3200-000081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148</xdr:row>
      <xdr:rowOff>28440</xdr:rowOff>
    </xdr:from>
    <xdr:to>
      <xdr:col>7</xdr:col>
      <xdr:colOff>-363960</xdr:colOff>
      <xdr:row>149</xdr:row>
      <xdr:rowOff>0</xdr:rowOff>
    </xdr:to>
    <xdr:sp macro="" textlink="">
      <xdr:nvSpPr>
        <xdr:cNvPr id="642" name="Option Button 641">
          <a:extLst>
            <a:ext uri="{FF2B5EF4-FFF2-40B4-BE49-F238E27FC236}">
              <a16:creationId xmlns:a16="http://schemas.microsoft.com/office/drawing/2014/main" id="{00000000-0008-0000-3200-00008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3" name="Option Button 642">
          <a:extLst>
            <a:ext uri="{FF2B5EF4-FFF2-40B4-BE49-F238E27FC236}">
              <a16:creationId xmlns:a16="http://schemas.microsoft.com/office/drawing/2014/main" id="{00000000-0008-0000-3200-00008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4" name="Option Button 643">
          <a:extLst>
            <a:ext uri="{FF2B5EF4-FFF2-40B4-BE49-F238E27FC236}">
              <a16:creationId xmlns:a16="http://schemas.microsoft.com/office/drawing/2014/main" id="{00000000-0008-0000-3200-00008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5" name="Option Button 644">
          <a:extLst>
            <a:ext uri="{FF2B5EF4-FFF2-40B4-BE49-F238E27FC236}">
              <a16:creationId xmlns:a16="http://schemas.microsoft.com/office/drawing/2014/main" id="{00000000-0008-0000-3200-00008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6" name="Group Box 645" descr="Group Box 5">
          <a:extLst>
            <a:ext uri="{FF2B5EF4-FFF2-40B4-BE49-F238E27FC236}">
              <a16:creationId xmlns:a16="http://schemas.microsoft.com/office/drawing/2014/main" id="{00000000-0008-0000-3200-000086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149</xdr:row>
      <xdr:rowOff>28440</xdr:rowOff>
    </xdr:from>
    <xdr:to>
      <xdr:col>7</xdr:col>
      <xdr:colOff>-363960</xdr:colOff>
      <xdr:row>150</xdr:row>
      <xdr:rowOff>0</xdr:rowOff>
    </xdr:to>
    <xdr:sp macro="" textlink="">
      <xdr:nvSpPr>
        <xdr:cNvPr id="647" name="Option Button 646">
          <a:extLst>
            <a:ext uri="{FF2B5EF4-FFF2-40B4-BE49-F238E27FC236}">
              <a16:creationId xmlns:a16="http://schemas.microsoft.com/office/drawing/2014/main" id="{00000000-0008-0000-3200-00008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8" name="Option Button 647">
          <a:extLst>
            <a:ext uri="{FF2B5EF4-FFF2-40B4-BE49-F238E27FC236}">
              <a16:creationId xmlns:a16="http://schemas.microsoft.com/office/drawing/2014/main" id="{00000000-0008-0000-3200-00008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9" name="Option Button 648">
          <a:extLst>
            <a:ext uri="{FF2B5EF4-FFF2-40B4-BE49-F238E27FC236}">
              <a16:creationId xmlns:a16="http://schemas.microsoft.com/office/drawing/2014/main" id="{00000000-0008-0000-3200-00008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0" name="Option Button 649">
          <a:extLst>
            <a:ext uri="{FF2B5EF4-FFF2-40B4-BE49-F238E27FC236}">
              <a16:creationId xmlns:a16="http://schemas.microsoft.com/office/drawing/2014/main" id="{00000000-0008-0000-3200-00008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1" name="Group Box 650" descr="Group Box 5">
          <a:extLst>
            <a:ext uri="{FF2B5EF4-FFF2-40B4-BE49-F238E27FC236}">
              <a16:creationId xmlns:a16="http://schemas.microsoft.com/office/drawing/2014/main" id="{00000000-0008-0000-3200-00008B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150</xdr:row>
      <xdr:rowOff>28440</xdr:rowOff>
    </xdr:from>
    <xdr:to>
      <xdr:col>7</xdr:col>
      <xdr:colOff>-363960</xdr:colOff>
      <xdr:row>151</xdr:row>
      <xdr:rowOff>0</xdr:rowOff>
    </xdr:to>
    <xdr:sp macro="" textlink="">
      <xdr:nvSpPr>
        <xdr:cNvPr id="652" name="Option Button 651">
          <a:extLst>
            <a:ext uri="{FF2B5EF4-FFF2-40B4-BE49-F238E27FC236}">
              <a16:creationId xmlns:a16="http://schemas.microsoft.com/office/drawing/2014/main" id="{00000000-0008-0000-3200-00008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3" name="Option Button 652">
          <a:extLst>
            <a:ext uri="{FF2B5EF4-FFF2-40B4-BE49-F238E27FC236}">
              <a16:creationId xmlns:a16="http://schemas.microsoft.com/office/drawing/2014/main" id="{00000000-0008-0000-3200-00008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4" name="Option Button 653">
          <a:extLst>
            <a:ext uri="{FF2B5EF4-FFF2-40B4-BE49-F238E27FC236}">
              <a16:creationId xmlns:a16="http://schemas.microsoft.com/office/drawing/2014/main" id="{00000000-0008-0000-3200-00008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5" name="Option Button 654">
          <a:extLst>
            <a:ext uri="{FF2B5EF4-FFF2-40B4-BE49-F238E27FC236}">
              <a16:creationId xmlns:a16="http://schemas.microsoft.com/office/drawing/2014/main" id="{00000000-0008-0000-3200-00008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6" name="Group Box 655" descr="Group Box 5">
          <a:extLst>
            <a:ext uri="{FF2B5EF4-FFF2-40B4-BE49-F238E27FC236}">
              <a16:creationId xmlns:a16="http://schemas.microsoft.com/office/drawing/2014/main" id="{00000000-0008-0000-3200-000090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151</xdr:row>
      <xdr:rowOff>28440</xdr:rowOff>
    </xdr:from>
    <xdr:to>
      <xdr:col>7</xdr:col>
      <xdr:colOff>-363960</xdr:colOff>
      <xdr:row>152</xdr:row>
      <xdr:rowOff>0</xdr:rowOff>
    </xdr:to>
    <xdr:sp macro="" textlink="">
      <xdr:nvSpPr>
        <xdr:cNvPr id="657" name="Option Button 656">
          <a:extLst>
            <a:ext uri="{FF2B5EF4-FFF2-40B4-BE49-F238E27FC236}">
              <a16:creationId xmlns:a16="http://schemas.microsoft.com/office/drawing/2014/main" id="{00000000-0008-0000-3200-00009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8" name="Option Button 657">
          <a:extLst>
            <a:ext uri="{FF2B5EF4-FFF2-40B4-BE49-F238E27FC236}">
              <a16:creationId xmlns:a16="http://schemas.microsoft.com/office/drawing/2014/main" id="{00000000-0008-0000-3200-00009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9" name="Option Button 658">
          <a:extLst>
            <a:ext uri="{FF2B5EF4-FFF2-40B4-BE49-F238E27FC236}">
              <a16:creationId xmlns:a16="http://schemas.microsoft.com/office/drawing/2014/main" id="{00000000-0008-0000-3200-00009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0" name="Option Button 659">
          <a:extLst>
            <a:ext uri="{FF2B5EF4-FFF2-40B4-BE49-F238E27FC236}">
              <a16:creationId xmlns:a16="http://schemas.microsoft.com/office/drawing/2014/main" id="{00000000-0008-0000-3200-00009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1" name="Group Box 660" descr="Group Box 5">
          <a:extLst>
            <a:ext uri="{FF2B5EF4-FFF2-40B4-BE49-F238E27FC236}">
              <a16:creationId xmlns:a16="http://schemas.microsoft.com/office/drawing/2014/main" id="{00000000-0008-0000-3200-000095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152</xdr:row>
      <xdr:rowOff>28440</xdr:rowOff>
    </xdr:from>
    <xdr:to>
      <xdr:col>7</xdr:col>
      <xdr:colOff>-363960</xdr:colOff>
      <xdr:row>153</xdr:row>
      <xdr:rowOff>0</xdr:rowOff>
    </xdr:to>
    <xdr:sp macro="" textlink="">
      <xdr:nvSpPr>
        <xdr:cNvPr id="662" name="Option Button 661">
          <a:extLst>
            <a:ext uri="{FF2B5EF4-FFF2-40B4-BE49-F238E27FC236}">
              <a16:creationId xmlns:a16="http://schemas.microsoft.com/office/drawing/2014/main" id="{00000000-0008-0000-3200-00009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3" name="Option Button 662">
          <a:extLst>
            <a:ext uri="{FF2B5EF4-FFF2-40B4-BE49-F238E27FC236}">
              <a16:creationId xmlns:a16="http://schemas.microsoft.com/office/drawing/2014/main" id="{00000000-0008-0000-3200-00009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4" name="Option Button 663">
          <a:extLst>
            <a:ext uri="{FF2B5EF4-FFF2-40B4-BE49-F238E27FC236}">
              <a16:creationId xmlns:a16="http://schemas.microsoft.com/office/drawing/2014/main" id="{00000000-0008-0000-3200-00009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5" name="Option Button 664">
          <a:extLst>
            <a:ext uri="{FF2B5EF4-FFF2-40B4-BE49-F238E27FC236}">
              <a16:creationId xmlns:a16="http://schemas.microsoft.com/office/drawing/2014/main" id="{00000000-0008-0000-3200-00009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6" name="Group Box 665" descr="Group Box 5">
          <a:extLst>
            <a:ext uri="{FF2B5EF4-FFF2-40B4-BE49-F238E27FC236}">
              <a16:creationId xmlns:a16="http://schemas.microsoft.com/office/drawing/2014/main" id="{00000000-0008-0000-3200-00009A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153</xdr:row>
      <xdr:rowOff>28440</xdr:rowOff>
    </xdr:from>
    <xdr:to>
      <xdr:col>7</xdr:col>
      <xdr:colOff>-363960</xdr:colOff>
      <xdr:row>154</xdr:row>
      <xdr:rowOff>0</xdr:rowOff>
    </xdr:to>
    <xdr:sp macro="" textlink="">
      <xdr:nvSpPr>
        <xdr:cNvPr id="667" name="Option Button 666">
          <a:extLst>
            <a:ext uri="{FF2B5EF4-FFF2-40B4-BE49-F238E27FC236}">
              <a16:creationId xmlns:a16="http://schemas.microsoft.com/office/drawing/2014/main" id="{00000000-0008-0000-3200-00009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8" name="Option Button 667">
          <a:extLst>
            <a:ext uri="{FF2B5EF4-FFF2-40B4-BE49-F238E27FC236}">
              <a16:creationId xmlns:a16="http://schemas.microsoft.com/office/drawing/2014/main" id="{00000000-0008-0000-3200-00009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9" name="Option Button 668">
          <a:extLst>
            <a:ext uri="{FF2B5EF4-FFF2-40B4-BE49-F238E27FC236}">
              <a16:creationId xmlns:a16="http://schemas.microsoft.com/office/drawing/2014/main" id="{00000000-0008-0000-3200-00009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0" name="Option Button 669">
          <a:extLst>
            <a:ext uri="{FF2B5EF4-FFF2-40B4-BE49-F238E27FC236}">
              <a16:creationId xmlns:a16="http://schemas.microsoft.com/office/drawing/2014/main" id="{00000000-0008-0000-3200-00009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1" name="Group Box 670" descr="Group Box 5">
          <a:extLst>
            <a:ext uri="{FF2B5EF4-FFF2-40B4-BE49-F238E27FC236}">
              <a16:creationId xmlns:a16="http://schemas.microsoft.com/office/drawing/2014/main" id="{00000000-0008-0000-3200-00009F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154</xdr:row>
      <xdr:rowOff>28440</xdr:rowOff>
    </xdr:from>
    <xdr:to>
      <xdr:col>7</xdr:col>
      <xdr:colOff>-363960</xdr:colOff>
      <xdr:row>155</xdr:row>
      <xdr:rowOff>0</xdr:rowOff>
    </xdr:to>
    <xdr:sp macro="" textlink="">
      <xdr:nvSpPr>
        <xdr:cNvPr id="672" name="Option Button 671">
          <a:extLst>
            <a:ext uri="{FF2B5EF4-FFF2-40B4-BE49-F238E27FC236}">
              <a16:creationId xmlns:a16="http://schemas.microsoft.com/office/drawing/2014/main" id="{00000000-0008-0000-3200-0000A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3" name="Option Button 672">
          <a:extLst>
            <a:ext uri="{FF2B5EF4-FFF2-40B4-BE49-F238E27FC236}">
              <a16:creationId xmlns:a16="http://schemas.microsoft.com/office/drawing/2014/main" id="{00000000-0008-0000-3200-0000A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4" name="Option Button 673">
          <a:extLst>
            <a:ext uri="{FF2B5EF4-FFF2-40B4-BE49-F238E27FC236}">
              <a16:creationId xmlns:a16="http://schemas.microsoft.com/office/drawing/2014/main" id="{00000000-0008-0000-3200-0000A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5" name="Option Button 674">
          <a:extLst>
            <a:ext uri="{FF2B5EF4-FFF2-40B4-BE49-F238E27FC236}">
              <a16:creationId xmlns:a16="http://schemas.microsoft.com/office/drawing/2014/main" id="{00000000-0008-0000-3200-0000A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6" name="Group Box 675" descr="Group Box 5">
          <a:extLst>
            <a:ext uri="{FF2B5EF4-FFF2-40B4-BE49-F238E27FC236}">
              <a16:creationId xmlns:a16="http://schemas.microsoft.com/office/drawing/2014/main" id="{00000000-0008-0000-3200-0000A4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155</xdr:row>
      <xdr:rowOff>28440</xdr:rowOff>
    </xdr:from>
    <xdr:to>
      <xdr:col>7</xdr:col>
      <xdr:colOff>-363960</xdr:colOff>
      <xdr:row>156</xdr:row>
      <xdr:rowOff>0</xdr:rowOff>
    </xdr:to>
    <xdr:sp macro="" textlink="">
      <xdr:nvSpPr>
        <xdr:cNvPr id="677" name="Option Button 676">
          <a:extLst>
            <a:ext uri="{FF2B5EF4-FFF2-40B4-BE49-F238E27FC236}">
              <a16:creationId xmlns:a16="http://schemas.microsoft.com/office/drawing/2014/main" id="{00000000-0008-0000-3200-0000A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8" name="Option Button 677">
          <a:extLst>
            <a:ext uri="{FF2B5EF4-FFF2-40B4-BE49-F238E27FC236}">
              <a16:creationId xmlns:a16="http://schemas.microsoft.com/office/drawing/2014/main" id="{00000000-0008-0000-3200-0000A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9" name="Option Button 678">
          <a:extLst>
            <a:ext uri="{FF2B5EF4-FFF2-40B4-BE49-F238E27FC236}">
              <a16:creationId xmlns:a16="http://schemas.microsoft.com/office/drawing/2014/main" id="{00000000-0008-0000-3200-0000A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0" name="Option Button 679">
          <a:extLst>
            <a:ext uri="{FF2B5EF4-FFF2-40B4-BE49-F238E27FC236}">
              <a16:creationId xmlns:a16="http://schemas.microsoft.com/office/drawing/2014/main" id="{00000000-0008-0000-3200-0000A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1" name="Group Box 680" descr="Group Box 5">
          <a:extLst>
            <a:ext uri="{FF2B5EF4-FFF2-40B4-BE49-F238E27FC236}">
              <a16:creationId xmlns:a16="http://schemas.microsoft.com/office/drawing/2014/main" id="{00000000-0008-0000-3200-0000A9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156</xdr:row>
      <xdr:rowOff>28440</xdr:rowOff>
    </xdr:from>
    <xdr:to>
      <xdr:col>7</xdr:col>
      <xdr:colOff>-363960</xdr:colOff>
      <xdr:row>157</xdr:row>
      <xdr:rowOff>0</xdr:rowOff>
    </xdr:to>
    <xdr:sp macro="" textlink="">
      <xdr:nvSpPr>
        <xdr:cNvPr id="682" name="Option Button 681">
          <a:extLst>
            <a:ext uri="{FF2B5EF4-FFF2-40B4-BE49-F238E27FC236}">
              <a16:creationId xmlns:a16="http://schemas.microsoft.com/office/drawing/2014/main" id="{00000000-0008-0000-3200-0000A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3" name="Option Button 682">
          <a:extLst>
            <a:ext uri="{FF2B5EF4-FFF2-40B4-BE49-F238E27FC236}">
              <a16:creationId xmlns:a16="http://schemas.microsoft.com/office/drawing/2014/main" id="{00000000-0008-0000-3200-0000A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4" name="Option Button 683">
          <a:extLst>
            <a:ext uri="{FF2B5EF4-FFF2-40B4-BE49-F238E27FC236}">
              <a16:creationId xmlns:a16="http://schemas.microsoft.com/office/drawing/2014/main" id="{00000000-0008-0000-3200-0000A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5" name="Option Button 684">
          <a:extLst>
            <a:ext uri="{FF2B5EF4-FFF2-40B4-BE49-F238E27FC236}">
              <a16:creationId xmlns:a16="http://schemas.microsoft.com/office/drawing/2014/main" id="{00000000-0008-0000-3200-0000A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6" name="Group Box 685" descr="Group Box 5">
          <a:extLst>
            <a:ext uri="{FF2B5EF4-FFF2-40B4-BE49-F238E27FC236}">
              <a16:creationId xmlns:a16="http://schemas.microsoft.com/office/drawing/2014/main" id="{00000000-0008-0000-3200-0000AE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157</xdr:row>
      <xdr:rowOff>28440</xdr:rowOff>
    </xdr:from>
    <xdr:to>
      <xdr:col>7</xdr:col>
      <xdr:colOff>-363960</xdr:colOff>
      <xdr:row>158</xdr:row>
      <xdr:rowOff>0</xdr:rowOff>
    </xdr:to>
    <xdr:sp macro="" textlink="">
      <xdr:nvSpPr>
        <xdr:cNvPr id="687" name="Option Button 686">
          <a:extLst>
            <a:ext uri="{FF2B5EF4-FFF2-40B4-BE49-F238E27FC236}">
              <a16:creationId xmlns:a16="http://schemas.microsoft.com/office/drawing/2014/main" id="{00000000-0008-0000-3200-0000A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8" name="Option Button 687">
          <a:extLst>
            <a:ext uri="{FF2B5EF4-FFF2-40B4-BE49-F238E27FC236}">
              <a16:creationId xmlns:a16="http://schemas.microsoft.com/office/drawing/2014/main" id="{00000000-0008-0000-3200-0000B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9" name="Option Button 688">
          <a:extLst>
            <a:ext uri="{FF2B5EF4-FFF2-40B4-BE49-F238E27FC236}">
              <a16:creationId xmlns:a16="http://schemas.microsoft.com/office/drawing/2014/main" id="{00000000-0008-0000-3200-0000B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0" name="Option Button 689">
          <a:extLst>
            <a:ext uri="{FF2B5EF4-FFF2-40B4-BE49-F238E27FC236}">
              <a16:creationId xmlns:a16="http://schemas.microsoft.com/office/drawing/2014/main" id="{00000000-0008-0000-3200-0000B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1" name="Group Box 690" descr="Group Box 5">
          <a:extLst>
            <a:ext uri="{FF2B5EF4-FFF2-40B4-BE49-F238E27FC236}">
              <a16:creationId xmlns:a16="http://schemas.microsoft.com/office/drawing/2014/main" id="{00000000-0008-0000-3200-0000B3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158</xdr:row>
      <xdr:rowOff>28440</xdr:rowOff>
    </xdr:from>
    <xdr:to>
      <xdr:col>7</xdr:col>
      <xdr:colOff>-363960</xdr:colOff>
      <xdr:row>159</xdr:row>
      <xdr:rowOff>0</xdr:rowOff>
    </xdr:to>
    <xdr:sp macro="" textlink="">
      <xdr:nvSpPr>
        <xdr:cNvPr id="692" name="Option Button 691">
          <a:extLst>
            <a:ext uri="{FF2B5EF4-FFF2-40B4-BE49-F238E27FC236}">
              <a16:creationId xmlns:a16="http://schemas.microsoft.com/office/drawing/2014/main" id="{00000000-0008-0000-3200-0000B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3" name="Option Button 692">
          <a:extLst>
            <a:ext uri="{FF2B5EF4-FFF2-40B4-BE49-F238E27FC236}">
              <a16:creationId xmlns:a16="http://schemas.microsoft.com/office/drawing/2014/main" id="{00000000-0008-0000-3200-0000B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4" name="Option Button 693">
          <a:extLst>
            <a:ext uri="{FF2B5EF4-FFF2-40B4-BE49-F238E27FC236}">
              <a16:creationId xmlns:a16="http://schemas.microsoft.com/office/drawing/2014/main" id="{00000000-0008-0000-3200-0000B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5" name="Option Button 694">
          <a:extLst>
            <a:ext uri="{FF2B5EF4-FFF2-40B4-BE49-F238E27FC236}">
              <a16:creationId xmlns:a16="http://schemas.microsoft.com/office/drawing/2014/main" id="{00000000-0008-0000-3200-0000B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6" name="Group Box 695" descr="Group Box 5">
          <a:extLst>
            <a:ext uri="{FF2B5EF4-FFF2-40B4-BE49-F238E27FC236}">
              <a16:creationId xmlns:a16="http://schemas.microsoft.com/office/drawing/2014/main" id="{00000000-0008-0000-3200-0000B8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159</xdr:row>
      <xdr:rowOff>28440</xdr:rowOff>
    </xdr:from>
    <xdr:to>
      <xdr:col>7</xdr:col>
      <xdr:colOff>-363960</xdr:colOff>
      <xdr:row>160</xdr:row>
      <xdr:rowOff>0</xdr:rowOff>
    </xdr:to>
    <xdr:sp macro="" textlink="">
      <xdr:nvSpPr>
        <xdr:cNvPr id="697" name="Option Button 696">
          <a:extLst>
            <a:ext uri="{FF2B5EF4-FFF2-40B4-BE49-F238E27FC236}">
              <a16:creationId xmlns:a16="http://schemas.microsoft.com/office/drawing/2014/main" id="{00000000-0008-0000-3200-0000B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8" name="Option Button 697">
          <a:extLst>
            <a:ext uri="{FF2B5EF4-FFF2-40B4-BE49-F238E27FC236}">
              <a16:creationId xmlns:a16="http://schemas.microsoft.com/office/drawing/2014/main" id="{00000000-0008-0000-3200-0000B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9" name="Option Button 698">
          <a:extLst>
            <a:ext uri="{FF2B5EF4-FFF2-40B4-BE49-F238E27FC236}">
              <a16:creationId xmlns:a16="http://schemas.microsoft.com/office/drawing/2014/main" id="{00000000-0008-0000-3200-0000B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0" name="Option Button 699">
          <a:extLst>
            <a:ext uri="{FF2B5EF4-FFF2-40B4-BE49-F238E27FC236}">
              <a16:creationId xmlns:a16="http://schemas.microsoft.com/office/drawing/2014/main" id="{00000000-0008-0000-3200-0000B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1" name="Group Box 700" descr="Group Box 5">
          <a:extLst>
            <a:ext uri="{FF2B5EF4-FFF2-40B4-BE49-F238E27FC236}">
              <a16:creationId xmlns:a16="http://schemas.microsoft.com/office/drawing/2014/main" id="{00000000-0008-0000-3200-0000BD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160</xdr:row>
      <xdr:rowOff>28440</xdr:rowOff>
    </xdr:from>
    <xdr:to>
      <xdr:col>7</xdr:col>
      <xdr:colOff>-363960</xdr:colOff>
      <xdr:row>161</xdr:row>
      <xdr:rowOff>0</xdr:rowOff>
    </xdr:to>
    <xdr:sp macro="" textlink="">
      <xdr:nvSpPr>
        <xdr:cNvPr id="702" name="Option Button 701">
          <a:extLst>
            <a:ext uri="{FF2B5EF4-FFF2-40B4-BE49-F238E27FC236}">
              <a16:creationId xmlns:a16="http://schemas.microsoft.com/office/drawing/2014/main" id="{00000000-0008-0000-3200-0000B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3" name="Option Button 702">
          <a:extLst>
            <a:ext uri="{FF2B5EF4-FFF2-40B4-BE49-F238E27FC236}">
              <a16:creationId xmlns:a16="http://schemas.microsoft.com/office/drawing/2014/main" id="{00000000-0008-0000-3200-0000B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4" name="Option Button 703">
          <a:extLst>
            <a:ext uri="{FF2B5EF4-FFF2-40B4-BE49-F238E27FC236}">
              <a16:creationId xmlns:a16="http://schemas.microsoft.com/office/drawing/2014/main" id="{00000000-0008-0000-3200-0000C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5" name="Option Button 704">
          <a:extLst>
            <a:ext uri="{FF2B5EF4-FFF2-40B4-BE49-F238E27FC236}">
              <a16:creationId xmlns:a16="http://schemas.microsoft.com/office/drawing/2014/main" id="{00000000-0008-0000-3200-0000C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6" name="Group Box 705" descr="Group Box 5">
          <a:extLst>
            <a:ext uri="{FF2B5EF4-FFF2-40B4-BE49-F238E27FC236}">
              <a16:creationId xmlns:a16="http://schemas.microsoft.com/office/drawing/2014/main" id="{00000000-0008-0000-3200-0000C2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161</xdr:row>
      <xdr:rowOff>28440</xdr:rowOff>
    </xdr:from>
    <xdr:to>
      <xdr:col>7</xdr:col>
      <xdr:colOff>-363960</xdr:colOff>
      <xdr:row>162</xdr:row>
      <xdr:rowOff>0</xdr:rowOff>
    </xdr:to>
    <xdr:sp macro="" textlink="">
      <xdr:nvSpPr>
        <xdr:cNvPr id="707" name="Option Button 706">
          <a:extLst>
            <a:ext uri="{FF2B5EF4-FFF2-40B4-BE49-F238E27FC236}">
              <a16:creationId xmlns:a16="http://schemas.microsoft.com/office/drawing/2014/main" id="{00000000-0008-0000-3200-0000C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8" name="Option Button 707">
          <a:extLst>
            <a:ext uri="{FF2B5EF4-FFF2-40B4-BE49-F238E27FC236}">
              <a16:creationId xmlns:a16="http://schemas.microsoft.com/office/drawing/2014/main" id="{00000000-0008-0000-3200-0000C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9" name="Option Button 708">
          <a:extLst>
            <a:ext uri="{FF2B5EF4-FFF2-40B4-BE49-F238E27FC236}">
              <a16:creationId xmlns:a16="http://schemas.microsoft.com/office/drawing/2014/main" id="{00000000-0008-0000-3200-0000C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0" name="Option Button 709">
          <a:extLst>
            <a:ext uri="{FF2B5EF4-FFF2-40B4-BE49-F238E27FC236}">
              <a16:creationId xmlns:a16="http://schemas.microsoft.com/office/drawing/2014/main" id="{00000000-0008-0000-3200-0000C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1" name="Group Box 710" descr="Group Box 5">
          <a:extLst>
            <a:ext uri="{FF2B5EF4-FFF2-40B4-BE49-F238E27FC236}">
              <a16:creationId xmlns:a16="http://schemas.microsoft.com/office/drawing/2014/main" id="{00000000-0008-0000-3200-0000C7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162</xdr:row>
      <xdr:rowOff>28440</xdr:rowOff>
    </xdr:from>
    <xdr:to>
      <xdr:col>7</xdr:col>
      <xdr:colOff>-363960</xdr:colOff>
      <xdr:row>163</xdr:row>
      <xdr:rowOff>0</xdr:rowOff>
    </xdr:to>
    <xdr:sp macro="" textlink="">
      <xdr:nvSpPr>
        <xdr:cNvPr id="712" name="Option Button 711">
          <a:extLst>
            <a:ext uri="{FF2B5EF4-FFF2-40B4-BE49-F238E27FC236}">
              <a16:creationId xmlns:a16="http://schemas.microsoft.com/office/drawing/2014/main" id="{00000000-0008-0000-3200-0000C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3" name="Option Button 712">
          <a:extLst>
            <a:ext uri="{FF2B5EF4-FFF2-40B4-BE49-F238E27FC236}">
              <a16:creationId xmlns:a16="http://schemas.microsoft.com/office/drawing/2014/main" id="{00000000-0008-0000-3200-0000C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4" name="Option Button 713">
          <a:extLst>
            <a:ext uri="{FF2B5EF4-FFF2-40B4-BE49-F238E27FC236}">
              <a16:creationId xmlns:a16="http://schemas.microsoft.com/office/drawing/2014/main" id="{00000000-0008-0000-3200-0000C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5" name="Option Button 714">
          <a:extLst>
            <a:ext uri="{FF2B5EF4-FFF2-40B4-BE49-F238E27FC236}">
              <a16:creationId xmlns:a16="http://schemas.microsoft.com/office/drawing/2014/main" id="{00000000-0008-0000-3200-0000C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6" name="Group Box 715" descr="Group Box 5">
          <a:extLst>
            <a:ext uri="{FF2B5EF4-FFF2-40B4-BE49-F238E27FC236}">
              <a16:creationId xmlns:a16="http://schemas.microsoft.com/office/drawing/2014/main" id="{00000000-0008-0000-3200-0000CC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163</xdr:row>
      <xdr:rowOff>28440</xdr:rowOff>
    </xdr:from>
    <xdr:to>
      <xdr:col>7</xdr:col>
      <xdr:colOff>-363960</xdr:colOff>
      <xdr:row>164</xdr:row>
      <xdr:rowOff>0</xdr:rowOff>
    </xdr:to>
    <xdr:sp macro="" textlink="">
      <xdr:nvSpPr>
        <xdr:cNvPr id="717" name="Option Button 716">
          <a:extLst>
            <a:ext uri="{FF2B5EF4-FFF2-40B4-BE49-F238E27FC236}">
              <a16:creationId xmlns:a16="http://schemas.microsoft.com/office/drawing/2014/main" id="{00000000-0008-0000-3200-0000C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8" name="Option Button 717">
          <a:extLst>
            <a:ext uri="{FF2B5EF4-FFF2-40B4-BE49-F238E27FC236}">
              <a16:creationId xmlns:a16="http://schemas.microsoft.com/office/drawing/2014/main" id="{00000000-0008-0000-3200-0000C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9" name="Option Button 718">
          <a:extLst>
            <a:ext uri="{FF2B5EF4-FFF2-40B4-BE49-F238E27FC236}">
              <a16:creationId xmlns:a16="http://schemas.microsoft.com/office/drawing/2014/main" id="{00000000-0008-0000-3200-0000C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0" name="Option Button 719">
          <a:extLst>
            <a:ext uri="{FF2B5EF4-FFF2-40B4-BE49-F238E27FC236}">
              <a16:creationId xmlns:a16="http://schemas.microsoft.com/office/drawing/2014/main" id="{00000000-0008-0000-3200-0000D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1" name="Group Box 720" descr="Group Box 5">
          <a:extLst>
            <a:ext uri="{FF2B5EF4-FFF2-40B4-BE49-F238E27FC236}">
              <a16:creationId xmlns:a16="http://schemas.microsoft.com/office/drawing/2014/main" id="{00000000-0008-0000-3200-0000D1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164</xdr:row>
      <xdr:rowOff>28440</xdr:rowOff>
    </xdr:from>
    <xdr:to>
      <xdr:col>7</xdr:col>
      <xdr:colOff>-363960</xdr:colOff>
      <xdr:row>165</xdr:row>
      <xdr:rowOff>0</xdr:rowOff>
    </xdr:to>
    <xdr:sp macro="" textlink="">
      <xdr:nvSpPr>
        <xdr:cNvPr id="722" name="Option Button 721">
          <a:extLst>
            <a:ext uri="{FF2B5EF4-FFF2-40B4-BE49-F238E27FC236}">
              <a16:creationId xmlns:a16="http://schemas.microsoft.com/office/drawing/2014/main" id="{00000000-0008-0000-3200-0000D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3" name="Option Button 722">
          <a:extLst>
            <a:ext uri="{FF2B5EF4-FFF2-40B4-BE49-F238E27FC236}">
              <a16:creationId xmlns:a16="http://schemas.microsoft.com/office/drawing/2014/main" id="{00000000-0008-0000-3200-0000D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4" name="Option Button 723">
          <a:extLst>
            <a:ext uri="{FF2B5EF4-FFF2-40B4-BE49-F238E27FC236}">
              <a16:creationId xmlns:a16="http://schemas.microsoft.com/office/drawing/2014/main" id="{00000000-0008-0000-3200-0000D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5" name="Option Button 724">
          <a:extLst>
            <a:ext uri="{FF2B5EF4-FFF2-40B4-BE49-F238E27FC236}">
              <a16:creationId xmlns:a16="http://schemas.microsoft.com/office/drawing/2014/main" id="{00000000-0008-0000-3200-0000D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6" name="Group Box 725" descr="Group Box 5">
          <a:extLst>
            <a:ext uri="{FF2B5EF4-FFF2-40B4-BE49-F238E27FC236}">
              <a16:creationId xmlns:a16="http://schemas.microsoft.com/office/drawing/2014/main" id="{00000000-0008-0000-3200-0000D6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165</xdr:row>
      <xdr:rowOff>28440</xdr:rowOff>
    </xdr:from>
    <xdr:to>
      <xdr:col>7</xdr:col>
      <xdr:colOff>-363960</xdr:colOff>
      <xdr:row>166</xdr:row>
      <xdr:rowOff>0</xdr:rowOff>
    </xdr:to>
    <xdr:sp macro="" textlink="">
      <xdr:nvSpPr>
        <xdr:cNvPr id="727" name="Option Button 726">
          <a:extLst>
            <a:ext uri="{FF2B5EF4-FFF2-40B4-BE49-F238E27FC236}">
              <a16:creationId xmlns:a16="http://schemas.microsoft.com/office/drawing/2014/main" id="{00000000-0008-0000-3200-0000D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8" name="Option Button 727">
          <a:extLst>
            <a:ext uri="{FF2B5EF4-FFF2-40B4-BE49-F238E27FC236}">
              <a16:creationId xmlns:a16="http://schemas.microsoft.com/office/drawing/2014/main" id="{00000000-0008-0000-3200-0000D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9" name="Option Button 728">
          <a:extLst>
            <a:ext uri="{FF2B5EF4-FFF2-40B4-BE49-F238E27FC236}">
              <a16:creationId xmlns:a16="http://schemas.microsoft.com/office/drawing/2014/main" id="{00000000-0008-0000-3200-0000D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0" name="Option Button 729">
          <a:extLst>
            <a:ext uri="{FF2B5EF4-FFF2-40B4-BE49-F238E27FC236}">
              <a16:creationId xmlns:a16="http://schemas.microsoft.com/office/drawing/2014/main" id="{00000000-0008-0000-3200-0000D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1" name="Group Box 730" descr="Group Box 5">
          <a:extLst>
            <a:ext uri="{FF2B5EF4-FFF2-40B4-BE49-F238E27FC236}">
              <a16:creationId xmlns:a16="http://schemas.microsoft.com/office/drawing/2014/main" id="{00000000-0008-0000-3200-0000DB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166</xdr:row>
      <xdr:rowOff>28440</xdr:rowOff>
    </xdr:from>
    <xdr:to>
      <xdr:col>7</xdr:col>
      <xdr:colOff>-363960</xdr:colOff>
      <xdr:row>167</xdr:row>
      <xdr:rowOff>0</xdr:rowOff>
    </xdr:to>
    <xdr:sp macro="" textlink="">
      <xdr:nvSpPr>
        <xdr:cNvPr id="732" name="Option Button 731">
          <a:extLst>
            <a:ext uri="{FF2B5EF4-FFF2-40B4-BE49-F238E27FC236}">
              <a16:creationId xmlns:a16="http://schemas.microsoft.com/office/drawing/2014/main" id="{00000000-0008-0000-3200-0000D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3" name="Option Button 732">
          <a:extLst>
            <a:ext uri="{FF2B5EF4-FFF2-40B4-BE49-F238E27FC236}">
              <a16:creationId xmlns:a16="http://schemas.microsoft.com/office/drawing/2014/main" id="{00000000-0008-0000-3200-0000D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4" name="Option Button 733">
          <a:extLst>
            <a:ext uri="{FF2B5EF4-FFF2-40B4-BE49-F238E27FC236}">
              <a16:creationId xmlns:a16="http://schemas.microsoft.com/office/drawing/2014/main" id="{00000000-0008-0000-3200-0000D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5" name="Option Button 734">
          <a:extLst>
            <a:ext uri="{FF2B5EF4-FFF2-40B4-BE49-F238E27FC236}">
              <a16:creationId xmlns:a16="http://schemas.microsoft.com/office/drawing/2014/main" id="{00000000-0008-0000-3200-0000D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6" name="Group Box 735" descr="Group Box 5">
          <a:extLst>
            <a:ext uri="{FF2B5EF4-FFF2-40B4-BE49-F238E27FC236}">
              <a16:creationId xmlns:a16="http://schemas.microsoft.com/office/drawing/2014/main" id="{00000000-0008-0000-3200-0000E0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167</xdr:row>
      <xdr:rowOff>28440</xdr:rowOff>
    </xdr:from>
    <xdr:to>
      <xdr:col>7</xdr:col>
      <xdr:colOff>-363960</xdr:colOff>
      <xdr:row>168</xdr:row>
      <xdr:rowOff>0</xdr:rowOff>
    </xdr:to>
    <xdr:sp macro="" textlink="">
      <xdr:nvSpPr>
        <xdr:cNvPr id="737" name="Option Button 736">
          <a:extLst>
            <a:ext uri="{FF2B5EF4-FFF2-40B4-BE49-F238E27FC236}">
              <a16:creationId xmlns:a16="http://schemas.microsoft.com/office/drawing/2014/main" id="{00000000-0008-0000-3200-0000E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8" name="Option Button 737">
          <a:extLst>
            <a:ext uri="{FF2B5EF4-FFF2-40B4-BE49-F238E27FC236}">
              <a16:creationId xmlns:a16="http://schemas.microsoft.com/office/drawing/2014/main" id="{00000000-0008-0000-3200-0000E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9" name="Option Button 738">
          <a:extLst>
            <a:ext uri="{FF2B5EF4-FFF2-40B4-BE49-F238E27FC236}">
              <a16:creationId xmlns:a16="http://schemas.microsoft.com/office/drawing/2014/main" id="{00000000-0008-0000-3200-0000E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0" name="Option Button 739">
          <a:extLst>
            <a:ext uri="{FF2B5EF4-FFF2-40B4-BE49-F238E27FC236}">
              <a16:creationId xmlns:a16="http://schemas.microsoft.com/office/drawing/2014/main" id="{00000000-0008-0000-3200-0000E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1" name="Group Box 740" descr="Group Box 5">
          <a:extLst>
            <a:ext uri="{FF2B5EF4-FFF2-40B4-BE49-F238E27FC236}">
              <a16:creationId xmlns:a16="http://schemas.microsoft.com/office/drawing/2014/main" id="{00000000-0008-0000-3200-0000E5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168</xdr:row>
      <xdr:rowOff>28440</xdr:rowOff>
    </xdr:from>
    <xdr:to>
      <xdr:col>7</xdr:col>
      <xdr:colOff>-363960</xdr:colOff>
      <xdr:row>169</xdr:row>
      <xdr:rowOff>0</xdr:rowOff>
    </xdr:to>
    <xdr:sp macro="" textlink="">
      <xdr:nvSpPr>
        <xdr:cNvPr id="742" name="Option Button 741">
          <a:extLst>
            <a:ext uri="{FF2B5EF4-FFF2-40B4-BE49-F238E27FC236}">
              <a16:creationId xmlns:a16="http://schemas.microsoft.com/office/drawing/2014/main" id="{00000000-0008-0000-3200-0000E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3" name="Option Button 742">
          <a:extLst>
            <a:ext uri="{FF2B5EF4-FFF2-40B4-BE49-F238E27FC236}">
              <a16:creationId xmlns:a16="http://schemas.microsoft.com/office/drawing/2014/main" id="{00000000-0008-0000-3200-0000E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4" name="Option Button 743">
          <a:extLst>
            <a:ext uri="{FF2B5EF4-FFF2-40B4-BE49-F238E27FC236}">
              <a16:creationId xmlns:a16="http://schemas.microsoft.com/office/drawing/2014/main" id="{00000000-0008-0000-3200-0000E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5" name="Option Button 744">
          <a:extLst>
            <a:ext uri="{FF2B5EF4-FFF2-40B4-BE49-F238E27FC236}">
              <a16:creationId xmlns:a16="http://schemas.microsoft.com/office/drawing/2014/main" id="{00000000-0008-0000-3200-0000E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6" name="Group Box 745" descr="Group Box 5">
          <a:extLst>
            <a:ext uri="{FF2B5EF4-FFF2-40B4-BE49-F238E27FC236}">
              <a16:creationId xmlns:a16="http://schemas.microsoft.com/office/drawing/2014/main" id="{00000000-0008-0000-3200-0000EA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169</xdr:row>
      <xdr:rowOff>28440</xdr:rowOff>
    </xdr:from>
    <xdr:to>
      <xdr:col>7</xdr:col>
      <xdr:colOff>-363960</xdr:colOff>
      <xdr:row>170</xdr:row>
      <xdr:rowOff>0</xdr:rowOff>
    </xdr:to>
    <xdr:sp macro="" textlink="">
      <xdr:nvSpPr>
        <xdr:cNvPr id="747" name="Option Button 746">
          <a:extLst>
            <a:ext uri="{FF2B5EF4-FFF2-40B4-BE49-F238E27FC236}">
              <a16:creationId xmlns:a16="http://schemas.microsoft.com/office/drawing/2014/main" id="{00000000-0008-0000-3200-0000E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8" name="Option Button 747">
          <a:extLst>
            <a:ext uri="{FF2B5EF4-FFF2-40B4-BE49-F238E27FC236}">
              <a16:creationId xmlns:a16="http://schemas.microsoft.com/office/drawing/2014/main" id="{00000000-0008-0000-3200-0000E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9" name="Option Button 748">
          <a:extLst>
            <a:ext uri="{FF2B5EF4-FFF2-40B4-BE49-F238E27FC236}">
              <a16:creationId xmlns:a16="http://schemas.microsoft.com/office/drawing/2014/main" id="{00000000-0008-0000-3200-0000E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0" name="Option Button 749">
          <a:extLst>
            <a:ext uri="{FF2B5EF4-FFF2-40B4-BE49-F238E27FC236}">
              <a16:creationId xmlns:a16="http://schemas.microsoft.com/office/drawing/2014/main" id="{00000000-0008-0000-3200-0000E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1" name="Group Box 750" descr="Group Box 5">
          <a:extLst>
            <a:ext uri="{FF2B5EF4-FFF2-40B4-BE49-F238E27FC236}">
              <a16:creationId xmlns:a16="http://schemas.microsoft.com/office/drawing/2014/main" id="{00000000-0008-0000-3200-0000EF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170</xdr:row>
      <xdr:rowOff>28440</xdr:rowOff>
    </xdr:from>
    <xdr:to>
      <xdr:col>7</xdr:col>
      <xdr:colOff>-363960</xdr:colOff>
      <xdr:row>171</xdr:row>
      <xdr:rowOff>0</xdr:rowOff>
    </xdr:to>
    <xdr:sp macro="" textlink="">
      <xdr:nvSpPr>
        <xdr:cNvPr id="752" name="Option Button 751">
          <a:extLst>
            <a:ext uri="{FF2B5EF4-FFF2-40B4-BE49-F238E27FC236}">
              <a16:creationId xmlns:a16="http://schemas.microsoft.com/office/drawing/2014/main" id="{00000000-0008-0000-3200-0000F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3" name="Option Button 752">
          <a:extLst>
            <a:ext uri="{FF2B5EF4-FFF2-40B4-BE49-F238E27FC236}">
              <a16:creationId xmlns:a16="http://schemas.microsoft.com/office/drawing/2014/main" id="{00000000-0008-0000-3200-0000F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4" name="Option Button 753">
          <a:extLst>
            <a:ext uri="{FF2B5EF4-FFF2-40B4-BE49-F238E27FC236}">
              <a16:creationId xmlns:a16="http://schemas.microsoft.com/office/drawing/2014/main" id="{00000000-0008-0000-3200-0000F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5" name="Option Button 754">
          <a:extLst>
            <a:ext uri="{FF2B5EF4-FFF2-40B4-BE49-F238E27FC236}">
              <a16:creationId xmlns:a16="http://schemas.microsoft.com/office/drawing/2014/main" id="{00000000-0008-0000-3200-0000F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6" name="Group Box 755" descr="Group Box 5">
          <a:extLst>
            <a:ext uri="{FF2B5EF4-FFF2-40B4-BE49-F238E27FC236}">
              <a16:creationId xmlns:a16="http://schemas.microsoft.com/office/drawing/2014/main" id="{00000000-0008-0000-3200-0000F4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171</xdr:row>
      <xdr:rowOff>28440</xdr:rowOff>
    </xdr:from>
    <xdr:to>
      <xdr:col>7</xdr:col>
      <xdr:colOff>-363960</xdr:colOff>
      <xdr:row>172</xdr:row>
      <xdr:rowOff>0</xdr:rowOff>
    </xdr:to>
    <xdr:sp macro="" textlink="">
      <xdr:nvSpPr>
        <xdr:cNvPr id="757" name="Option Button 756">
          <a:extLst>
            <a:ext uri="{FF2B5EF4-FFF2-40B4-BE49-F238E27FC236}">
              <a16:creationId xmlns:a16="http://schemas.microsoft.com/office/drawing/2014/main" id="{00000000-0008-0000-3200-0000F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8" name="Option Button 757">
          <a:extLst>
            <a:ext uri="{FF2B5EF4-FFF2-40B4-BE49-F238E27FC236}">
              <a16:creationId xmlns:a16="http://schemas.microsoft.com/office/drawing/2014/main" id="{00000000-0008-0000-3200-0000F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9" name="Option Button 758">
          <a:extLst>
            <a:ext uri="{FF2B5EF4-FFF2-40B4-BE49-F238E27FC236}">
              <a16:creationId xmlns:a16="http://schemas.microsoft.com/office/drawing/2014/main" id="{00000000-0008-0000-3200-0000F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0" name="Option Button 759">
          <a:extLst>
            <a:ext uri="{FF2B5EF4-FFF2-40B4-BE49-F238E27FC236}">
              <a16:creationId xmlns:a16="http://schemas.microsoft.com/office/drawing/2014/main" id="{00000000-0008-0000-3200-0000F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1" name="Group Box 760" descr="Group Box 5">
          <a:extLst>
            <a:ext uri="{FF2B5EF4-FFF2-40B4-BE49-F238E27FC236}">
              <a16:creationId xmlns:a16="http://schemas.microsoft.com/office/drawing/2014/main" id="{00000000-0008-0000-3200-0000F9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172</xdr:row>
      <xdr:rowOff>28440</xdr:rowOff>
    </xdr:from>
    <xdr:to>
      <xdr:col>7</xdr:col>
      <xdr:colOff>-363960</xdr:colOff>
      <xdr:row>173</xdr:row>
      <xdr:rowOff>0</xdr:rowOff>
    </xdr:to>
    <xdr:sp macro="" textlink="">
      <xdr:nvSpPr>
        <xdr:cNvPr id="762" name="Option Button 761">
          <a:extLst>
            <a:ext uri="{FF2B5EF4-FFF2-40B4-BE49-F238E27FC236}">
              <a16:creationId xmlns:a16="http://schemas.microsoft.com/office/drawing/2014/main" id="{00000000-0008-0000-3200-0000F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3" name="Option Button 762">
          <a:extLst>
            <a:ext uri="{FF2B5EF4-FFF2-40B4-BE49-F238E27FC236}">
              <a16:creationId xmlns:a16="http://schemas.microsoft.com/office/drawing/2014/main" id="{00000000-0008-0000-3200-0000F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4" name="Option Button 763">
          <a:extLst>
            <a:ext uri="{FF2B5EF4-FFF2-40B4-BE49-F238E27FC236}">
              <a16:creationId xmlns:a16="http://schemas.microsoft.com/office/drawing/2014/main" id="{00000000-0008-0000-3200-0000F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5" name="Option Button 764">
          <a:extLst>
            <a:ext uri="{FF2B5EF4-FFF2-40B4-BE49-F238E27FC236}">
              <a16:creationId xmlns:a16="http://schemas.microsoft.com/office/drawing/2014/main" id="{00000000-0008-0000-3200-0000F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6" name="Group Box 765" descr="Group Box 5">
          <a:extLst>
            <a:ext uri="{FF2B5EF4-FFF2-40B4-BE49-F238E27FC236}">
              <a16:creationId xmlns:a16="http://schemas.microsoft.com/office/drawing/2014/main" id="{00000000-0008-0000-3200-0000FE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173</xdr:row>
      <xdr:rowOff>28440</xdr:rowOff>
    </xdr:from>
    <xdr:to>
      <xdr:col>7</xdr:col>
      <xdr:colOff>-363960</xdr:colOff>
      <xdr:row>174</xdr:row>
      <xdr:rowOff>0</xdr:rowOff>
    </xdr:to>
    <xdr:sp macro="" textlink="">
      <xdr:nvSpPr>
        <xdr:cNvPr id="767" name="Option Button 766">
          <a:extLst>
            <a:ext uri="{FF2B5EF4-FFF2-40B4-BE49-F238E27FC236}">
              <a16:creationId xmlns:a16="http://schemas.microsoft.com/office/drawing/2014/main" id="{00000000-0008-0000-3200-0000F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8" name="Option Button 767">
          <a:extLst>
            <a:ext uri="{FF2B5EF4-FFF2-40B4-BE49-F238E27FC236}">
              <a16:creationId xmlns:a16="http://schemas.microsoft.com/office/drawing/2014/main" id="{00000000-0008-0000-3200-00000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9" name="Option Button 768">
          <a:extLst>
            <a:ext uri="{FF2B5EF4-FFF2-40B4-BE49-F238E27FC236}">
              <a16:creationId xmlns:a16="http://schemas.microsoft.com/office/drawing/2014/main" id="{00000000-0008-0000-3200-00000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0" name="Option Button 769">
          <a:extLst>
            <a:ext uri="{FF2B5EF4-FFF2-40B4-BE49-F238E27FC236}">
              <a16:creationId xmlns:a16="http://schemas.microsoft.com/office/drawing/2014/main" id="{00000000-0008-0000-3200-00000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1" name="Group Box 770" descr="Group Box 5">
          <a:extLst>
            <a:ext uri="{FF2B5EF4-FFF2-40B4-BE49-F238E27FC236}">
              <a16:creationId xmlns:a16="http://schemas.microsoft.com/office/drawing/2014/main" id="{00000000-0008-0000-3200-000003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174</xdr:row>
      <xdr:rowOff>28440</xdr:rowOff>
    </xdr:from>
    <xdr:to>
      <xdr:col>7</xdr:col>
      <xdr:colOff>-363960</xdr:colOff>
      <xdr:row>175</xdr:row>
      <xdr:rowOff>0</xdr:rowOff>
    </xdr:to>
    <xdr:sp macro="" textlink="">
      <xdr:nvSpPr>
        <xdr:cNvPr id="772" name="Option Button 771">
          <a:extLst>
            <a:ext uri="{FF2B5EF4-FFF2-40B4-BE49-F238E27FC236}">
              <a16:creationId xmlns:a16="http://schemas.microsoft.com/office/drawing/2014/main" id="{00000000-0008-0000-3200-00000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3" name="Option Button 772">
          <a:extLst>
            <a:ext uri="{FF2B5EF4-FFF2-40B4-BE49-F238E27FC236}">
              <a16:creationId xmlns:a16="http://schemas.microsoft.com/office/drawing/2014/main" id="{00000000-0008-0000-3200-00000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4" name="Option Button 773">
          <a:extLst>
            <a:ext uri="{FF2B5EF4-FFF2-40B4-BE49-F238E27FC236}">
              <a16:creationId xmlns:a16="http://schemas.microsoft.com/office/drawing/2014/main" id="{00000000-0008-0000-3200-00000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5" name="Option Button 774">
          <a:extLst>
            <a:ext uri="{FF2B5EF4-FFF2-40B4-BE49-F238E27FC236}">
              <a16:creationId xmlns:a16="http://schemas.microsoft.com/office/drawing/2014/main" id="{00000000-0008-0000-3200-00000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6" name="Group Box 775" descr="Group Box 5">
          <a:extLst>
            <a:ext uri="{FF2B5EF4-FFF2-40B4-BE49-F238E27FC236}">
              <a16:creationId xmlns:a16="http://schemas.microsoft.com/office/drawing/2014/main" id="{00000000-0008-0000-3200-000008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175</xdr:row>
      <xdr:rowOff>28440</xdr:rowOff>
    </xdr:from>
    <xdr:to>
      <xdr:col>7</xdr:col>
      <xdr:colOff>-363960</xdr:colOff>
      <xdr:row>176</xdr:row>
      <xdr:rowOff>0</xdr:rowOff>
    </xdr:to>
    <xdr:sp macro="" textlink="">
      <xdr:nvSpPr>
        <xdr:cNvPr id="777" name="Option Button 776">
          <a:extLst>
            <a:ext uri="{FF2B5EF4-FFF2-40B4-BE49-F238E27FC236}">
              <a16:creationId xmlns:a16="http://schemas.microsoft.com/office/drawing/2014/main" id="{00000000-0008-0000-3200-00000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8" name="Option Button 777">
          <a:extLst>
            <a:ext uri="{FF2B5EF4-FFF2-40B4-BE49-F238E27FC236}">
              <a16:creationId xmlns:a16="http://schemas.microsoft.com/office/drawing/2014/main" id="{00000000-0008-0000-3200-00000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9" name="Option Button 778">
          <a:extLst>
            <a:ext uri="{FF2B5EF4-FFF2-40B4-BE49-F238E27FC236}">
              <a16:creationId xmlns:a16="http://schemas.microsoft.com/office/drawing/2014/main" id="{00000000-0008-0000-3200-00000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0" name="Option Button 779">
          <a:extLst>
            <a:ext uri="{FF2B5EF4-FFF2-40B4-BE49-F238E27FC236}">
              <a16:creationId xmlns:a16="http://schemas.microsoft.com/office/drawing/2014/main" id="{00000000-0008-0000-3200-00000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1" name="Group Box 780" descr="Group Box 5">
          <a:extLst>
            <a:ext uri="{FF2B5EF4-FFF2-40B4-BE49-F238E27FC236}">
              <a16:creationId xmlns:a16="http://schemas.microsoft.com/office/drawing/2014/main" id="{00000000-0008-0000-3200-00000D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176</xdr:row>
      <xdr:rowOff>28440</xdr:rowOff>
    </xdr:from>
    <xdr:to>
      <xdr:col>7</xdr:col>
      <xdr:colOff>-363960</xdr:colOff>
      <xdr:row>177</xdr:row>
      <xdr:rowOff>0</xdr:rowOff>
    </xdr:to>
    <xdr:sp macro="" textlink="">
      <xdr:nvSpPr>
        <xdr:cNvPr id="782" name="Option Button 781">
          <a:extLst>
            <a:ext uri="{FF2B5EF4-FFF2-40B4-BE49-F238E27FC236}">
              <a16:creationId xmlns:a16="http://schemas.microsoft.com/office/drawing/2014/main" id="{00000000-0008-0000-3200-00000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3" name="Option Button 782">
          <a:extLst>
            <a:ext uri="{FF2B5EF4-FFF2-40B4-BE49-F238E27FC236}">
              <a16:creationId xmlns:a16="http://schemas.microsoft.com/office/drawing/2014/main" id="{00000000-0008-0000-3200-00000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4" name="Option Button 783">
          <a:extLst>
            <a:ext uri="{FF2B5EF4-FFF2-40B4-BE49-F238E27FC236}">
              <a16:creationId xmlns:a16="http://schemas.microsoft.com/office/drawing/2014/main" id="{00000000-0008-0000-3200-00001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5" name="Option Button 784">
          <a:extLst>
            <a:ext uri="{FF2B5EF4-FFF2-40B4-BE49-F238E27FC236}">
              <a16:creationId xmlns:a16="http://schemas.microsoft.com/office/drawing/2014/main" id="{00000000-0008-0000-3200-00001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6" name="Group Box 785" descr="Group Box 5">
          <a:extLst>
            <a:ext uri="{FF2B5EF4-FFF2-40B4-BE49-F238E27FC236}">
              <a16:creationId xmlns:a16="http://schemas.microsoft.com/office/drawing/2014/main" id="{00000000-0008-0000-3200-000012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177</xdr:row>
      <xdr:rowOff>28440</xdr:rowOff>
    </xdr:from>
    <xdr:to>
      <xdr:col>7</xdr:col>
      <xdr:colOff>-363960</xdr:colOff>
      <xdr:row>178</xdr:row>
      <xdr:rowOff>0</xdr:rowOff>
    </xdr:to>
    <xdr:sp macro="" textlink="">
      <xdr:nvSpPr>
        <xdr:cNvPr id="787" name="Option Button 786">
          <a:extLst>
            <a:ext uri="{FF2B5EF4-FFF2-40B4-BE49-F238E27FC236}">
              <a16:creationId xmlns:a16="http://schemas.microsoft.com/office/drawing/2014/main" id="{00000000-0008-0000-3200-00001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8" name="Option Button 787">
          <a:extLst>
            <a:ext uri="{FF2B5EF4-FFF2-40B4-BE49-F238E27FC236}">
              <a16:creationId xmlns:a16="http://schemas.microsoft.com/office/drawing/2014/main" id="{00000000-0008-0000-3200-00001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9" name="Option Button 788">
          <a:extLst>
            <a:ext uri="{FF2B5EF4-FFF2-40B4-BE49-F238E27FC236}">
              <a16:creationId xmlns:a16="http://schemas.microsoft.com/office/drawing/2014/main" id="{00000000-0008-0000-3200-00001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0" name="Option Button 789">
          <a:extLst>
            <a:ext uri="{FF2B5EF4-FFF2-40B4-BE49-F238E27FC236}">
              <a16:creationId xmlns:a16="http://schemas.microsoft.com/office/drawing/2014/main" id="{00000000-0008-0000-3200-00001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1" name="Group Box 790" descr="Group Box 5">
          <a:extLst>
            <a:ext uri="{FF2B5EF4-FFF2-40B4-BE49-F238E27FC236}">
              <a16:creationId xmlns:a16="http://schemas.microsoft.com/office/drawing/2014/main" id="{00000000-0008-0000-3200-000017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178</xdr:row>
      <xdr:rowOff>28440</xdr:rowOff>
    </xdr:from>
    <xdr:to>
      <xdr:col>7</xdr:col>
      <xdr:colOff>-363960</xdr:colOff>
      <xdr:row>179</xdr:row>
      <xdr:rowOff>0</xdr:rowOff>
    </xdr:to>
    <xdr:sp macro="" textlink="">
      <xdr:nvSpPr>
        <xdr:cNvPr id="792" name="Option Button 791">
          <a:extLst>
            <a:ext uri="{FF2B5EF4-FFF2-40B4-BE49-F238E27FC236}">
              <a16:creationId xmlns:a16="http://schemas.microsoft.com/office/drawing/2014/main" id="{00000000-0008-0000-3200-00001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3" name="Option Button 792">
          <a:extLst>
            <a:ext uri="{FF2B5EF4-FFF2-40B4-BE49-F238E27FC236}">
              <a16:creationId xmlns:a16="http://schemas.microsoft.com/office/drawing/2014/main" id="{00000000-0008-0000-3200-00001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4" name="Option Button 793">
          <a:extLst>
            <a:ext uri="{FF2B5EF4-FFF2-40B4-BE49-F238E27FC236}">
              <a16:creationId xmlns:a16="http://schemas.microsoft.com/office/drawing/2014/main" id="{00000000-0008-0000-3200-00001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5" name="Option Button 794">
          <a:extLst>
            <a:ext uri="{FF2B5EF4-FFF2-40B4-BE49-F238E27FC236}">
              <a16:creationId xmlns:a16="http://schemas.microsoft.com/office/drawing/2014/main" id="{00000000-0008-0000-3200-00001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6" name="Group Box 795" descr="Group Box 5">
          <a:extLst>
            <a:ext uri="{FF2B5EF4-FFF2-40B4-BE49-F238E27FC236}">
              <a16:creationId xmlns:a16="http://schemas.microsoft.com/office/drawing/2014/main" id="{00000000-0008-0000-3200-00001C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179</xdr:row>
      <xdr:rowOff>28440</xdr:rowOff>
    </xdr:from>
    <xdr:to>
      <xdr:col>7</xdr:col>
      <xdr:colOff>-363960</xdr:colOff>
      <xdr:row>180</xdr:row>
      <xdr:rowOff>0</xdr:rowOff>
    </xdr:to>
    <xdr:sp macro="" textlink="">
      <xdr:nvSpPr>
        <xdr:cNvPr id="797" name="Option Button 796">
          <a:extLst>
            <a:ext uri="{FF2B5EF4-FFF2-40B4-BE49-F238E27FC236}">
              <a16:creationId xmlns:a16="http://schemas.microsoft.com/office/drawing/2014/main" id="{00000000-0008-0000-3200-00001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8" name="Option Button 797">
          <a:extLst>
            <a:ext uri="{FF2B5EF4-FFF2-40B4-BE49-F238E27FC236}">
              <a16:creationId xmlns:a16="http://schemas.microsoft.com/office/drawing/2014/main" id="{00000000-0008-0000-3200-00001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9" name="Option Button 798">
          <a:extLst>
            <a:ext uri="{FF2B5EF4-FFF2-40B4-BE49-F238E27FC236}">
              <a16:creationId xmlns:a16="http://schemas.microsoft.com/office/drawing/2014/main" id="{00000000-0008-0000-3200-00001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0" name="Option Button 799">
          <a:extLst>
            <a:ext uri="{FF2B5EF4-FFF2-40B4-BE49-F238E27FC236}">
              <a16:creationId xmlns:a16="http://schemas.microsoft.com/office/drawing/2014/main" id="{00000000-0008-0000-3200-00002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1" name="Group Box 800" descr="Group Box 5">
          <a:extLst>
            <a:ext uri="{FF2B5EF4-FFF2-40B4-BE49-F238E27FC236}">
              <a16:creationId xmlns:a16="http://schemas.microsoft.com/office/drawing/2014/main" id="{00000000-0008-0000-3200-000021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180</xdr:row>
      <xdr:rowOff>28440</xdr:rowOff>
    </xdr:from>
    <xdr:to>
      <xdr:col>7</xdr:col>
      <xdr:colOff>-363960</xdr:colOff>
      <xdr:row>181</xdr:row>
      <xdr:rowOff>0</xdr:rowOff>
    </xdr:to>
    <xdr:sp macro="" textlink="">
      <xdr:nvSpPr>
        <xdr:cNvPr id="802" name="Option Button 801">
          <a:extLst>
            <a:ext uri="{FF2B5EF4-FFF2-40B4-BE49-F238E27FC236}">
              <a16:creationId xmlns:a16="http://schemas.microsoft.com/office/drawing/2014/main" id="{00000000-0008-0000-3200-00002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3" name="Option Button 802">
          <a:extLst>
            <a:ext uri="{FF2B5EF4-FFF2-40B4-BE49-F238E27FC236}">
              <a16:creationId xmlns:a16="http://schemas.microsoft.com/office/drawing/2014/main" id="{00000000-0008-0000-3200-00002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4" name="Option Button 803">
          <a:extLst>
            <a:ext uri="{FF2B5EF4-FFF2-40B4-BE49-F238E27FC236}">
              <a16:creationId xmlns:a16="http://schemas.microsoft.com/office/drawing/2014/main" id="{00000000-0008-0000-3200-00002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5" name="Option Button 804">
          <a:extLst>
            <a:ext uri="{FF2B5EF4-FFF2-40B4-BE49-F238E27FC236}">
              <a16:creationId xmlns:a16="http://schemas.microsoft.com/office/drawing/2014/main" id="{00000000-0008-0000-3200-00002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6" name="Group Box 805" descr="Group Box 5">
          <a:extLst>
            <a:ext uri="{FF2B5EF4-FFF2-40B4-BE49-F238E27FC236}">
              <a16:creationId xmlns:a16="http://schemas.microsoft.com/office/drawing/2014/main" id="{00000000-0008-0000-3200-000026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181</xdr:row>
      <xdr:rowOff>28440</xdr:rowOff>
    </xdr:from>
    <xdr:to>
      <xdr:col>7</xdr:col>
      <xdr:colOff>-363960</xdr:colOff>
      <xdr:row>182</xdr:row>
      <xdr:rowOff>0</xdr:rowOff>
    </xdr:to>
    <xdr:sp macro="" textlink="">
      <xdr:nvSpPr>
        <xdr:cNvPr id="807" name="Option Button 806">
          <a:extLst>
            <a:ext uri="{FF2B5EF4-FFF2-40B4-BE49-F238E27FC236}">
              <a16:creationId xmlns:a16="http://schemas.microsoft.com/office/drawing/2014/main" id="{00000000-0008-0000-3200-00002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8" name="Option Button 807">
          <a:extLst>
            <a:ext uri="{FF2B5EF4-FFF2-40B4-BE49-F238E27FC236}">
              <a16:creationId xmlns:a16="http://schemas.microsoft.com/office/drawing/2014/main" id="{00000000-0008-0000-3200-00002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9" name="Option Button 808">
          <a:extLst>
            <a:ext uri="{FF2B5EF4-FFF2-40B4-BE49-F238E27FC236}">
              <a16:creationId xmlns:a16="http://schemas.microsoft.com/office/drawing/2014/main" id="{00000000-0008-0000-3200-00002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0" name="Option Button 809">
          <a:extLst>
            <a:ext uri="{FF2B5EF4-FFF2-40B4-BE49-F238E27FC236}">
              <a16:creationId xmlns:a16="http://schemas.microsoft.com/office/drawing/2014/main" id="{00000000-0008-0000-3200-00002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1" name="Group Box 810" descr="Group Box 5">
          <a:extLst>
            <a:ext uri="{FF2B5EF4-FFF2-40B4-BE49-F238E27FC236}">
              <a16:creationId xmlns:a16="http://schemas.microsoft.com/office/drawing/2014/main" id="{00000000-0008-0000-3200-00002B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182</xdr:row>
      <xdr:rowOff>28440</xdr:rowOff>
    </xdr:from>
    <xdr:to>
      <xdr:col>7</xdr:col>
      <xdr:colOff>-363960</xdr:colOff>
      <xdr:row>183</xdr:row>
      <xdr:rowOff>0</xdr:rowOff>
    </xdr:to>
    <xdr:sp macro="" textlink="">
      <xdr:nvSpPr>
        <xdr:cNvPr id="812" name="Option Button 811">
          <a:extLst>
            <a:ext uri="{FF2B5EF4-FFF2-40B4-BE49-F238E27FC236}">
              <a16:creationId xmlns:a16="http://schemas.microsoft.com/office/drawing/2014/main" id="{00000000-0008-0000-3200-00002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3" name="Option Button 812">
          <a:extLst>
            <a:ext uri="{FF2B5EF4-FFF2-40B4-BE49-F238E27FC236}">
              <a16:creationId xmlns:a16="http://schemas.microsoft.com/office/drawing/2014/main" id="{00000000-0008-0000-3200-00002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4" name="Option Button 813">
          <a:extLst>
            <a:ext uri="{FF2B5EF4-FFF2-40B4-BE49-F238E27FC236}">
              <a16:creationId xmlns:a16="http://schemas.microsoft.com/office/drawing/2014/main" id="{00000000-0008-0000-3200-00002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5" name="Option Button 814">
          <a:extLst>
            <a:ext uri="{FF2B5EF4-FFF2-40B4-BE49-F238E27FC236}">
              <a16:creationId xmlns:a16="http://schemas.microsoft.com/office/drawing/2014/main" id="{00000000-0008-0000-3200-00002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6" name="Group Box 815" descr="Group Box 5">
          <a:extLst>
            <a:ext uri="{FF2B5EF4-FFF2-40B4-BE49-F238E27FC236}">
              <a16:creationId xmlns:a16="http://schemas.microsoft.com/office/drawing/2014/main" id="{00000000-0008-0000-3200-000030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183</xdr:row>
      <xdr:rowOff>28440</xdr:rowOff>
    </xdr:from>
    <xdr:to>
      <xdr:col>7</xdr:col>
      <xdr:colOff>-363960</xdr:colOff>
      <xdr:row>184</xdr:row>
      <xdr:rowOff>0</xdr:rowOff>
    </xdr:to>
    <xdr:sp macro="" textlink="">
      <xdr:nvSpPr>
        <xdr:cNvPr id="817" name="Option Button 816">
          <a:extLst>
            <a:ext uri="{FF2B5EF4-FFF2-40B4-BE49-F238E27FC236}">
              <a16:creationId xmlns:a16="http://schemas.microsoft.com/office/drawing/2014/main" id="{00000000-0008-0000-3200-00003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8" name="Option Button 817">
          <a:extLst>
            <a:ext uri="{FF2B5EF4-FFF2-40B4-BE49-F238E27FC236}">
              <a16:creationId xmlns:a16="http://schemas.microsoft.com/office/drawing/2014/main" id="{00000000-0008-0000-3200-00003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9" name="Option Button 818">
          <a:extLst>
            <a:ext uri="{FF2B5EF4-FFF2-40B4-BE49-F238E27FC236}">
              <a16:creationId xmlns:a16="http://schemas.microsoft.com/office/drawing/2014/main" id="{00000000-0008-0000-3200-00003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0" name="Option Button 819">
          <a:extLst>
            <a:ext uri="{FF2B5EF4-FFF2-40B4-BE49-F238E27FC236}">
              <a16:creationId xmlns:a16="http://schemas.microsoft.com/office/drawing/2014/main" id="{00000000-0008-0000-3200-00003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1" name="Group Box 820" descr="Group Box 5">
          <a:extLst>
            <a:ext uri="{FF2B5EF4-FFF2-40B4-BE49-F238E27FC236}">
              <a16:creationId xmlns:a16="http://schemas.microsoft.com/office/drawing/2014/main" id="{00000000-0008-0000-3200-000035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184</xdr:row>
      <xdr:rowOff>28440</xdr:rowOff>
    </xdr:from>
    <xdr:to>
      <xdr:col>7</xdr:col>
      <xdr:colOff>-363960</xdr:colOff>
      <xdr:row>185</xdr:row>
      <xdr:rowOff>0</xdr:rowOff>
    </xdr:to>
    <xdr:sp macro="" textlink="">
      <xdr:nvSpPr>
        <xdr:cNvPr id="822" name="Option Button 821">
          <a:extLst>
            <a:ext uri="{FF2B5EF4-FFF2-40B4-BE49-F238E27FC236}">
              <a16:creationId xmlns:a16="http://schemas.microsoft.com/office/drawing/2014/main" id="{00000000-0008-0000-3200-00003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3" name="Option Button 822">
          <a:extLst>
            <a:ext uri="{FF2B5EF4-FFF2-40B4-BE49-F238E27FC236}">
              <a16:creationId xmlns:a16="http://schemas.microsoft.com/office/drawing/2014/main" id="{00000000-0008-0000-3200-00003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4" name="Option Button 823">
          <a:extLst>
            <a:ext uri="{FF2B5EF4-FFF2-40B4-BE49-F238E27FC236}">
              <a16:creationId xmlns:a16="http://schemas.microsoft.com/office/drawing/2014/main" id="{00000000-0008-0000-3200-00003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5" name="Option Button 824">
          <a:extLst>
            <a:ext uri="{FF2B5EF4-FFF2-40B4-BE49-F238E27FC236}">
              <a16:creationId xmlns:a16="http://schemas.microsoft.com/office/drawing/2014/main" id="{00000000-0008-0000-3200-00003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6" name="Group Box 825" descr="Group Box 5">
          <a:extLst>
            <a:ext uri="{FF2B5EF4-FFF2-40B4-BE49-F238E27FC236}">
              <a16:creationId xmlns:a16="http://schemas.microsoft.com/office/drawing/2014/main" id="{00000000-0008-0000-3200-00003A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185</xdr:row>
      <xdr:rowOff>28440</xdr:rowOff>
    </xdr:from>
    <xdr:to>
      <xdr:col>7</xdr:col>
      <xdr:colOff>-363960</xdr:colOff>
      <xdr:row>186</xdr:row>
      <xdr:rowOff>0</xdr:rowOff>
    </xdr:to>
    <xdr:sp macro="" textlink="">
      <xdr:nvSpPr>
        <xdr:cNvPr id="827" name="Option Button 826">
          <a:extLst>
            <a:ext uri="{FF2B5EF4-FFF2-40B4-BE49-F238E27FC236}">
              <a16:creationId xmlns:a16="http://schemas.microsoft.com/office/drawing/2014/main" id="{00000000-0008-0000-3200-00003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8" name="Option Button 827">
          <a:extLst>
            <a:ext uri="{FF2B5EF4-FFF2-40B4-BE49-F238E27FC236}">
              <a16:creationId xmlns:a16="http://schemas.microsoft.com/office/drawing/2014/main" id="{00000000-0008-0000-3200-00003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9" name="Option Button 828">
          <a:extLst>
            <a:ext uri="{FF2B5EF4-FFF2-40B4-BE49-F238E27FC236}">
              <a16:creationId xmlns:a16="http://schemas.microsoft.com/office/drawing/2014/main" id="{00000000-0008-0000-3200-00003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0" name="Option Button 829">
          <a:extLst>
            <a:ext uri="{FF2B5EF4-FFF2-40B4-BE49-F238E27FC236}">
              <a16:creationId xmlns:a16="http://schemas.microsoft.com/office/drawing/2014/main" id="{00000000-0008-0000-3200-00003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1" name="Group Box 830" descr="Group Box 5">
          <a:extLst>
            <a:ext uri="{FF2B5EF4-FFF2-40B4-BE49-F238E27FC236}">
              <a16:creationId xmlns:a16="http://schemas.microsoft.com/office/drawing/2014/main" id="{00000000-0008-0000-3200-00003F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186</xdr:row>
      <xdr:rowOff>28440</xdr:rowOff>
    </xdr:from>
    <xdr:to>
      <xdr:col>7</xdr:col>
      <xdr:colOff>-363960</xdr:colOff>
      <xdr:row>187</xdr:row>
      <xdr:rowOff>0</xdr:rowOff>
    </xdr:to>
    <xdr:sp macro="" textlink="">
      <xdr:nvSpPr>
        <xdr:cNvPr id="832" name="Option Button 831">
          <a:extLst>
            <a:ext uri="{FF2B5EF4-FFF2-40B4-BE49-F238E27FC236}">
              <a16:creationId xmlns:a16="http://schemas.microsoft.com/office/drawing/2014/main" id="{00000000-0008-0000-3200-00004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3" name="Option Button 832">
          <a:extLst>
            <a:ext uri="{FF2B5EF4-FFF2-40B4-BE49-F238E27FC236}">
              <a16:creationId xmlns:a16="http://schemas.microsoft.com/office/drawing/2014/main" id="{00000000-0008-0000-3200-00004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4" name="Option Button 833">
          <a:extLst>
            <a:ext uri="{FF2B5EF4-FFF2-40B4-BE49-F238E27FC236}">
              <a16:creationId xmlns:a16="http://schemas.microsoft.com/office/drawing/2014/main" id="{00000000-0008-0000-3200-00004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5" name="Option Button 834">
          <a:extLst>
            <a:ext uri="{FF2B5EF4-FFF2-40B4-BE49-F238E27FC236}">
              <a16:creationId xmlns:a16="http://schemas.microsoft.com/office/drawing/2014/main" id="{00000000-0008-0000-3200-00004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6" name="Group Box 835" descr="Group Box 5">
          <a:extLst>
            <a:ext uri="{FF2B5EF4-FFF2-40B4-BE49-F238E27FC236}">
              <a16:creationId xmlns:a16="http://schemas.microsoft.com/office/drawing/2014/main" id="{00000000-0008-0000-3200-000044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187</xdr:row>
      <xdr:rowOff>28440</xdr:rowOff>
    </xdr:from>
    <xdr:to>
      <xdr:col>7</xdr:col>
      <xdr:colOff>-363960</xdr:colOff>
      <xdr:row>188</xdr:row>
      <xdr:rowOff>0</xdr:rowOff>
    </xdr:to>
    <xdr:sp macro="" textlink="">
      <xdr:nvSpPr>
        <xdr:cNvPr id="837" name="Option Button 836">
          <a:extLst>
            <a:ext uri="{FF2B5EF4-FFF2-40B4-BE49-F238E27FC236}">
              <a16:creationId xmlns:a16="http://schemas.microsoft.com/office/drawing/2014/main" id="{00000000-0008-0000-3200-00004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8" name="Option Button 837">
          <a:extLst>
            <a:ext uri="{FF2B5EF4-FFF2-40B4-BE49-F238E27FC236}">
              <a16:creationId xmlns:a16="http://schemas.microsoft.com/office/drawing/2014/main" id="{00000000-0008-0000-3200-00004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9" name="Option Button 838">
          <a:extLst>
            <a:ext uri="{FF2B5EF4-FFF2-40B4-BE49-F238E27FC236}">
              <a16:creationId xmlns:a16="http://schemas.microsoft.com/office/drawing/2014/main" id="{00000000-0008-0000-3200-00004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0" name="Option Button 839">
          <a:extLst>
            <a:ext uri="{FF2B5EF4-FFF2-40B4-BE49-F238E27FC236}">
              <a16:creationId xmlns:a16="http://schemas.microsoft.com/office/drawing/2014/main" id="{00000000-0008-0000-3200-00004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1" name="Group Box 840" descr="Group Box 5">
          <a:extLst>
            <a:ext uri="{FF2B5EF4-FFF2-40B4-BE49-F238E27FC236}">
              <a16:creationId xmlns:a16="http://schemas.microsoft.com/office/drawing/2014/main" id="{00000000-0008-0000-3200-000049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188</xdr:row>
      <xdr:rowOff>28440</xdr:rowOff>
    </xdr:from>
    <xdr:to>
      <xdr:col>7</xdr:col>
      <xdr:colOff>-363960</xdr:colOff>
      <xdr:row>189</xdr:row>
      <xdr:rowOff>0</xdr:rowOff>
    </xdr:to>
    <xdr:sp macro="" textlink="">
      <xdr:nvSpPr>
        <xdr:cNvPr id="842" name="Option Button 841">
          <a:extLst>
            <a:ext uri="{FF2B5EF4-FFF2-40B4-BE49-F238E27FC236}">
              <a16:creationId xmlns:a16="http://schemas.microsoft.com/office/drawing/2014/main" id="{00000000-0008-0000-3200-00004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3" name="Option Button 842">
          <a:extLst>
            <a:ext uri="{FF2B5EF4-FFF2-40B4-BE49-F238E27FC236}">
              <a16:creationId xmlns:a16="http://schemas.microsoft.com/office/drawing/2014/main" id="{00000000-0008-0000-3200-00004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4" name="Option Button 843">
          <a:extLst>
            <a:ext uri="{FF2B5EF4-FFF2-40B4-BE49-F238E27FC236}">
              <a16:creationId xmlns:a16="http://schemas.microsoft.com/office/drawing/2014/main" id="{00000000-0008-0000-3200-00004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5" name="Option Button 844">
          <a:extLst>
            <a:ext uri="{FF2B5EF4-FFF2-40B4-BE49-F238E27FC236}">
              <a16:creationId xmlns:a16="http://schemas.microsoft.com/office/drawing/2014/main" id="{00000000-0008-0000-3200-00004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6" name="Group Box 845" descr="Group Box 5">
          <a:extLst>
            <a:ext uri="{FF2B5EF4-FFF2-40B4-BE49-F238E27FC236}">
              <a16:creationId xmlns:a16="http://schemas.microsoft.com/office/drawing/2014/main" id="{00000000-0008-0000-3200-00004E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189</xdr:row>
      <xdr:rowOff>28440</xdr:rowOff>
    </xdr:from>
    <xdr:to>
      <xdr:col>7</xdr:col>
      <xdr:colOff>-363960</xdr:colOff>
      <xdr:row>190</xdr:row>
      <xdr:rowOff>0</xdr:rowOff>
    </xdr:to>
    <xdr:sp macro="" textlink="">
      <xdr:nvSpPr>
        <xdr:cNvPr id="847" name="Option Button 846">
          <a:extLst>
            <a:ext uri="{FF2B5EF4-FFF2-40B4-BE49-F238E27FC236}">
              <a16:creationId xmlns:a16="http://schemas.microsoft.com/office/drawing/2014/main" id="{00000000-0008-0000-3200-00004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8" name="Option Button 847">
          <a:extLst>
            <a:ext uri="{FF2B5EF4-FFF2-40B4-BE49-F238E27FC236}">
              <a16:creationId xmlns:a16="http://schemas.microsoft.com/office/drawing/2014/main" id="{00000000-0008-0000-3200-00005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9" name="Option Button 848">
          <a:extLst>
            <a:ext uri="{FF2B5EF4-FFF2-40B4-BE49-F238E27FC236}">
              <a16:creationId xmlns:a16="http://schemas.microsoft.com/office/drawing/2014/main" id="{00000000-0008-0000-3200-00005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0" name="Option Button 849">
          <a:extLst>
            <a:ext uri="{FF2B5EF4-FFF2-40B4-BE49-F238E27FC236}">
              <a16:creationId xmlns:a16="http://schemas.microsoft.com/office/drawing/2014/main" id="{00000000-0008-0000-3200-00005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1" name="Group Box 850" descr="Group Box 5">
          <a:extLst>
            <a:ext uri="{FF2B5EF4-FFF2-40B4-BE49-F238E27FC236}">
              <a16:creationId xmlns:a16="http://schemas.microsoft.com/office/drawing/2014/main" id="{00000000-0008-0000-3200-000053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190</xdr:row>
      <xdr:rowOff>28440</xdr:rowOff>
    </xdr:from>
    <xdr:to>
      <xdr:col>7</xdr:col>
      <xdr:colOff>-363960</xdr:colOff>
      <xdr:row>191</xdr:row>
      <xdr:rowOff>0</xdr:rowOff>
    </xdr:to>
    <xdr:sp macro="" textlink="">
      <xdr:nvSpPr>
        <xdr:cNvPr id="852" name="Option Button 851">
          <a:extLst>
            <a:ext uri="{FF2B5EF4-FFF2-40B4-BE49-F238E27FC236}">
              <a16:creationId xmlns:a16="http://schemas.microsoft.com/office/drawing/2014/main" id="{00000000-0008-0000-3200-00005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3" name="Option Button 852">
          <a:extLst>
            <a:ext uri="{FF2B5EF4-FFF2-40B4-BE49-F238E27FC236}">
              <a16:creationId xmlns:a16="http://schemas.microsoft.com/office/drawing/2014/main" id="{00000000-0008-0000-3200-00005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4" name="Option Button 853">
          <a:extLst>
            <a:ext uri="{FF2B5EF4-FFF2-40B4-BE49-F238E27FC236}">
              <a16:creationId xmlns:a16="http://schemas.microsoft.com/office/drawing/2014/main" id="{00000000-0008-0000-3200-00005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5" name="Option Button 854">
          <a:extLst>
            <a:ext uri="{FF2B5EF4-FFF2-40B4-BE49-F238E27FC236}">
              <a16:creationId xmlns:a16="http://schemas.microsoft.com/office/drawing/2014/main" id="{00000000-0008-0000-3200-00005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6" name="Group Box 855" descr="Group Box 5">
          <a:extLst>
            <a:ext uri="{FF2B5EF4-FFF2-40B4-BE49-F238E27FC236}">
              <a16:creationId xmlns:a16="http://schemas.microsoft.com/office/drawing/2014/main" id="{00000000-0008-0000-3200-000058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191</xdr:row>
      <xdr:rowOff>28440</xdr:rowOff>
    </xdr:from>
    <xdr:to>
      <xdr:col>7</xdr:col>
      <xdr:colOff>-363960</xdr:colOff>
      <xdr:row>192</xdr:row>
      <xdr:rowOff>0</xdr:rowOff>
    </xdr:to>
    <xdr:sp macro="" textlink="">
      <xdr:nvSpPr>
        <xdr:cNvPr id="857" name="Option Button 856">
          <a:extLst>
            <a:ext uri="{FF2B5EF4-FFF2-40B4-BE49-F238E27FC236}">
              <a16:creationId xmlns:a16="http://schemas.microsoft.com/office/drawing/2014/main" id="{00000000-0008-0000-3200-00005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8" name="Option Button 857">
          <a:extLst>
            <a:ext uri="{FF2B5EF4-FFF2-40B4-BE49-F238E27FC236}">
              <a16:creationId xmlns:a16="http://schemas.microsoft.com/office/drawing/2014/main" id="{00000000-0008-0000-3200-00005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9" name="Option Button 858">
          <a:extLst>
            <a:ext uri="{FF2B5EF4-FFF2-40B4-BE49-F238E27FC236}">
              <a16:creationId xmlns:a16="http://schemas.microsoft.com/office/drawing/2014/main" id="{00000000-0008-0000-3200-00005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0" name="Option Button 859">
          <a:extLst>
            <a:ext uri="{FF2B5EF4-FFF2-40B4-BE49-F238E27FC236}">
              <a16:creationId xmlns:a16="http://schemas.microsoft.com/office/drawing/2014/main" id="{00000000-0008-0000-3200-00005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1" name="Group Box 860" descr="Group Box 5">
          <a:extLst>
            <a:ext uri="{FF2B5EF4-FFF2-40B4-BE49-F238E27FC236}">
              <a16:creationId xmlns:a16="http://schemas.microsoft.com/office/drawing/2014/main" id="{00000000-0008-0000-3200-00005D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192</xdr:row>
      <xdr:rowOff>28440</xdr:rowOff>
    </xdr:from>
    <xdr:to>
      <xdr:col>7</xdr:col>
      <xdr:colOff>-363960</xdr:colOff>
      <xdr:row>193</xdr:row>
      <xdr:rowOff>0</xdr:rowOff>
    </xdr:to>
    <xdr:sp macro="" textlink="">
      <xdr:nvSpPr>
        <xdr:cNvPr id="862" name="Option Button 861">
          <a:extLst>
            <a:ext uri="{FF2B5EF4-FFF2-40B4-BE49-F238E27FC236}">
              <a16:creationId xmlns:a16="http://schemas.microsoft.com/office/drawing/2014/main" id="{00000000-0008-0000-3200-00005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3" name="Option Button 862">
          <a:extLst>
            <a:ext uri="{FF2B5EF4-FFF2-40B4-BE49-F238E27FC236}">
              <a16:creationId xmlns:a16="http://schemas.microsoft.com/office/drawing/2014/main" id="{00000000-0008-0000-3200-00005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4" name="Option Button 863">
          <a:extLst>
            <a:ext uri="{FF2B5EF4-FFF2-40B4-BE49-F238E27FC236}">
              <a16:creationId xmlns:a16="http://schemas.microsoft.com/office/drawing/2014/main" id="{00000000-0008-0000-3200-00006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5" name="Option Button 864">
          <a:extLst>
            <a:ext uri="{FF2B5EF4-FFF2-40B4-BE49-F238E27FC236}">
              <a16:creationId xmlns:a16="http://schemas.microsoft.com/office/drawing/2014/main" id="{00000000-0008-0000-3200-00006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6" name="Group Box 865" descr="Group Box 5">
          <a:extLst>
            <a:ext uri="{FF2B5EF4-FFF2-40B4-BE49-F238E27FC236}">
              <a16:creationId xmlns:a16="http://schemas.microsoft.com/office/drawing/2014/main" id="{00000000-0008-0000-3200-000062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193</xdr:row>
      <xdr:rowOff>28440</xdr:rowOff>
    </xdr:from>
    <xdr:to>
      <xdr:col>7</xdr:col>
      <xdr:colOff>-363960</xdr:colOff>
      <xdr:row>194</xdr:row>
      <xdr:rowOff>0</xdr:rowOff>
    </xdr:to>
    <xdr:sp macro="" textlink="">
      <xdr:nvSpPr>
        <xdr:cNvPr id="867" name="Option Button 866">
          <a:extLst>
            <a:ext uri="{FF2B5EF4-FFF2-40B4-BE49-F238E27FC236}">
              <a16:creationId xmlns:a16="http://schemas.microsoft.com/office/drawing/2014/main" id="{00000000-0008-0000-3200-00006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8" name="Option Button 867">
          <a:extLst>
            <a:ext uri="{FF2B5EF4-FFF2-40B4-BE49-F238E27FC236}">
              <a16:creationId xmlns:a16="http://schemas.microsoft.com/office/drawing/2014/main" id="{00000000-0008-0000-3200-00006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9" name="Option Button 868">
          <a:extLst>
            <a:ext uri="{FF2B5EF4-FFF2-40B4-BE49-F238E27FC236}">
              <a16:creationId xmlns:a16="http://schemas.microsoft.com/office/drawing/2014/main" id="{00000000-0008-0000-3200-00006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0" name="Option Button 869">
          <a:extLst>
            <a:ext uri="{FF2B5EF4-FFF2-40B4-BE49-F238E27FC236}">
              <a16:creationId xmlns:a16="http://schemas.microsoft.com/office/drawing/2014/main" id="{00000000-0008-0000-3200-00006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1" name="Group Box 870" descr="Group Box 5">
          <a:extLst>
            <a:ext uri="{FF2B5EF4-FFF2-40B4-BE49-F238E27FC236}">
              <a16:creationId xmlns:a16="http://schemas.microsoft.com/office/drawing/2014/main" id="{00000000-0008-0000-3200-000067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194</xdr:row>
      <xdr:rowOff>28440</xdr:rowOff>
    </xdr:from>
    <xdr:to>
      <xdr:col>7</xdr:col>
      <xdr:colOff>-363960</xdr:colOff>
      <xdr:row>195</xdr:row>
      <xdr:rowOff>0</xdr:rowOff>
    </xdr:to>
    <xdr:sp macro="" textlink="">
      <xdr:nvSpPr>
        <xdr:cNvPr id="872" name="Option Button 871">
          <a:extLst>
            <a:ext uri="{FF2B5EF4-FFF2-40B4-BE49-F238E27FC236}">
              <a16:creationId xmlns:a16="http://schemas.microsoft.com/office/drawing/2014/main" id="{00000000-0008-0000-3200-00006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3" name="Option Button 872">
          <a:extLst>
            <a:ext uri="{FF2B5EF4-FFF2-40B4-BE49-F238E27FC236}">
              <a16:creationId xmlns:a16="http://schemas.microsoft.com/office/drawing/2014/main" id="{00000000-0008-0000-3200-00006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4" name="Option Button 873">
          <a:extLst>
            <a:ext uri="{FF2B5EF4-FFF2-40B4-BE49-F238E27FC236}">
              <a16:creationId xmlns:a16="http://schemas.microsoft.com/office/drawing/2014/main" id="{00000000-0008-0000-3200-00006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5" name="Option Button 874">
          <a:extLst>
            <a:ext uri="{FF2B5EF4-FFF2-40B4-BE49-F238E27FC236}">
              <a16:creationId xmlns:a16="http://schemas.microsoft.com/office/drawing/2014/main" id="{00000000-0008-0000-3200-00006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6" name="Group Box 875" descr="Group Box 5">
          <a:extLst>
            <a:ext uri="{FF2B5EF4-FFF2-40B4-BE49-F238E27FC236}">
              <a16:creationId xmlns:a16="http://schemas.microsoft.com/office/drawing/2014/main" id="{00000000-0008-0000-3200-00006C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195</xdr:row>
      <xdr:rowOff>28440</xdr:rowOff>
    </xdr:from>
    <xdr:to>
      <xdr:col>7</xdr:col>
      <xdr:colOff>-363960</xdr:colOff>
      <xdr:row>196</xdr:row>
      <xdr:rowOff>0</xdr:rowOff>
    </xdr:to>
    <xdr:sp macro="" textlink="">
      <xdr:nvSpPr>
        <xdr:cNvPr id="877" name="Option Button 876">
          <a:extLst>
            <a:ext uri="{FF2B5EF4-FFF2-40B4-BE49-F238E27FC236}">
              <a16:creationId xmlns:a16="http://schemas.microsoft.com/office/drawing/2014/main" id="{00000000-0008-0000-3200-00006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8" name="Option Button 877">
          <a:extLst>
            <a:ext uri="{FF2B5EF4-FFF2-40B4-BE49-F238E27FC236}">
              <a16:creationId xmlns:a16="http://schemas.microsoft.com/office/drawing/2014/main" id="{00000000-0008-0000-3200-00006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9" name="Option Button 878">
          <a:extLst>
            <a:ext uri="{FF2B5EF4-FFF2-40B4-BE49-F238E27FC236}">
              <a16:creationId xmlns:a16="http://schemas.microsoft.com/office/drawing/2014/main" id="{00000000-0008-0000-3200-00006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0" name="Option Button 879">
          <a:extLst>
            <a:ext uri="{FF2B5EF4-FFF2-40B4-BE49-F238E27FC236}">
              <a16:creationId xmlns:a16="http://schemas.microsoft.com/office/drawing/2014/main" id="{00000000-0008-0000-3200-00007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1" name="Group Box 880" descr="Group Box 5">
          <a:extLst>
            <a:ext uri="{FF2B5EF4-FFF2-40B4-BE49-F238E27FC236}">
              <a16:creationId xmlns:a16="http://schemas.microsoft.com/office/drawing/2014/main" id="{00000000-0008-0000-3200-000071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196</xdr:row>
      <xdr:rowOff>28440</xdr:rowOff>
    </xdr:from>
    <xdr:to>
      <xdr:col>7</xdr:col>
      <xdr:colOff>-363960</xdr:colOff>
      <xdr:row>197</xdr:row>
      <xdr:rowOff>0</xdr:rowOff>
    </xdr:to>
    <xdr:sp macro="" textlink="">
      <xdr:nvSpPr>
        <xdr:cNvPr id="882" name="Option Button 881">
          <a:extLst>
            <a:ext uri="{FF2B5EF4-FFF2-40B4-BE49-F238E27FC236}">
              <a16:creationId xmlns:a16="http://schemas.microsoft.com/office/drawing/2014/main" id="{00000000-0008-0000-3200-00007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3" name="Option Button 882">
          <a:extLst>
            <a:ext uri="{FF2B5EF4-FFF2-40B4-BE49-F238E27FC236}">
              <a16:creationId xmlns:a16="http://schemas.microsoft.com/office/drawing/2014/main" id="{00000000-0008-0000-3200-00007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4" name="Option Button 883">
          <a:extLst>
            <a:ext uri="{FF2B5EF4-FFF2-40B4-BE49-F238E27FC236}">
              <a16:creationId xmlns:a16="http://schemas.microsoft.com/office/drawing/2014/main" id="{00000000-0008-0000-3200-00007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5" name="Option Button 884">
          <a:extLst>
            <a:ext uri="{FF2B5EF4-FFF2-40B4-BE49-F238E27FC236}">
              <a16:creationId xmlns:a16="http://schemas.microsoft.com/office/drawing/2014/main" id="{00000000-0008-0000-3200-00007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6" name="Group Box 885" descr="Group Box 5">
          <a:extLst>
            <a:ext uri="{FF2B5EF4-FFF2-40B4-BE49-F238E27FC236}">
              <a16:creationId xmlns:a16="http://schemas.microsoft.com/office/drawing/2014/main" id="{00000000-0008-0000-3200-000076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197</xdr:row>
      <xdr:rowOff>28440</xdr:rowOff>
    </xdr:from>
    <xdr:to>
      <xdr:col>7</xdr:col>
      <xdr:colOff>-363960</xdr:colOff>
      <xdr:row>198</xdr:row>
      <xdr:rowOff>0</xdr:rowOff>
    </xdr:to>
    <xdr:sp macro="" textlink="">
      <xdr:nvSpPr>
        <xdr:cNvPr id="887" name="Option Button 886">
          <a:extLst>
            <a:ext uri="{FF2B5EF4-FFF2-40B4-BE49-F238E27FC236}">
              <a16:creationId xmlns:a16="http://schemas.microsoft.com/office/drawing/2014/main" id="{00000000-0008-0000-3200-00007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8" name="Option Button 887">
          <a:extLst>
            <a:ext uri="{FF2B5EF4-FFF2-40B4-BE49-F238E27FC236}">
              <a16:creationId xmlns:a16="http://schemas.microsoft.com/office/drawing/2014/main" id="{00000000-0008-0000-3200-00007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9" name="Option Button 888">
          <a:extLst>
            <a:ext uri="{FF2B5EF4-FFF2-40B4-BE49-F238E27FC236}">
              <a16:creationId xmlns:a16="http://schemas.microsoft.com/office/drawing/2014/main" id="{00000000-0008-0000-3200-00007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0" name="Option Button 889">
          <a:extLst>
            <a:ext uri="{FF2B5EF4-FFF2-40B4-BE49-F238E27FC236}">
              <a16:creationId xmlns:a16="http://schemas.microsoft.com/office/drawing/2014/main" id="{00000000-0008-0000-3200-00007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1" name="Group Box 890" descr="Group Box 5">
          <a:extLst>
            <a:ext uri="{FF2B5EF4-FFF2-40B4-BE49-F238E27FC236}">
              <a16:creationId xmlns:a16="http://schemas.microsoft.com/office/drawing/2014/main" id="{00000000-0008-0000-3200-00007B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198</xdr:row>
      <xdr:rowOff>28440</xdr:rowOff>
    </xdr:from>
    <xdr:to>
      <xdr:col>7</xdr:col>
      <xdr:colOff>-363960</xdr:colOff>
      <xdr:row>199</xdr:row>
      <xdr:rowOff>0</xdr:rowOff>
    </xdr:to>
    <xdr:sp macro="" textlink="">
      <xdr:nvSpPr>
        <xdr:cNvPr id="892" name="Option Button 891">
          <a:extLst>
            <a:ext uri="{FF2B5EF4-FFF2-40B4-BE49-F238E27FC236}">
              <a16:creationId xmlns:a16="http://schemas.microsoft.com/office/drawing/2014/main" id="{00000000-0008-0000-3200-00007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3" name="Option Button 892">
          <a:extLst>
            <a:ext uri="{FF2B5EF4-FFF2-40B4-BE49-F238E27FC236}">
              <a16:creationId xmlns:a16="http://schemas.microsoft.com/office/drawing/2014/main" id="{00000000-0008-0000-3200-00007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4" name="Option Button 893">
          <a:extLst>
            <a:ext uri="{FF2B5EF4-FFF2-40B4-BE49-F238E27FC236}">
              <a16:creationId xmlns:a16="http://schemas.microsoft.com/office/drawing/2014/main" id="{00000000-0008-0000-3200-00007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5" name="Option Button 894">
          <a:extLst>
            <a:ext uri="{FF2B5EF4-FFF2-40B4-BE49-F238E27FC236}">
              <a16:creationId xmlns:a16="http://schemas.microsoft.com/office/drawing/2014/main" id="{00000000-0008-0000-3200-00007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6" name="Group Box 895" descr="Group Box 5">
          <a:extLst>
            <a:ext uri="{FF2B5EF4-FFF2-40B4-BE49-F238E27FC236}">
              <a16:creationId xmlns:a16="http://schemas.microsoft.com/office/drawing/2014/main" id="{00000000-0008-0000-3200-000080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199</xdr:row>
      <xdr:rowOff>28440</xdr:rowOff>
    </xdr:from>
    <xdr:to>
      <xdr:col>7</xdr:col>
      <xdr:colOff>-363960</xdr:colOff>
      <xdr:row>200</xdr:row>
      <xdr:rowOff>0</xdr:rowOff>
    </xdr:to>
    <xdr:sp macro="" textlink="">
      <xdr:nvSpPr>
        <xdr:cNvPr id="897" name="Option Button 896">
          <a:extLst>
            <a:ext uri="{FF2B5EF4-FFF2-40B4-BE49-F238E27FC236}">
              <a16:creationId xmlns:a16="http://schemas.microsoft.com/office/drawing/2014/main" id="{00000000-0008-0000-3200-00008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8" name="Option Button 897">
          <a:extLst>
            <a:ext uri="{FF2B5EF4-FFF2-40B4-BE49-F238E27FC236}">
              <a16:creationId xmlns:a16="http://schemas.microsoft.com/office/drawing/2014/main" id="{00000000-0008-0000-3200-00008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9" name="Option Button 898">
          <a:extLst>
            <a:ext uri="{FF2B5EF4-FFF2-40B4-BE49-F238E27FC236}">
              <a16:creationId xmlns:a16="http://schemas.microsoft.com/office/drawing/2014/main" id="{00000000-0008-0000-3200-00008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0" name="Option Button 899">
          <a:extLst>
            <a:ext uri="{FF2B5EF4-FFF2-40B4-BE49-F238E27FC236}">
              <a16:creationId xmlns:a16="http://schemas.microsoft.com/office/drawing/2014/main" id="{00000000-0008-0000-3200-00008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1" name="Group Box 900" descr="Group Box 5">
          <a:extLst>
            <a:ext uri="{FF2B5EF4-FFF2-40B4-BE49-F238E27FC236}">
              <a16:creationId xmlns:a16="http://schemas.microsoft.com/office/drawing/2014/main" id="{00000000-0008-0000-3200-000085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200</xdr:row>
      <xdr:rowOff>28440</xdr:rowOff>
    </xdr:from>
    <xdr:to>
      <xdr:col>7</xdr:col>
      <xdr:colOff>-363960</xdr:colOff>
      <xdr:row>201</xdr:row>
      <xdr:rowOff>0</xdr:rowOff>
    </xdr:to>
    <xdr:sp macro="" textlink="">
      <xdr:nvSpPr>
        <xdr:cNvPr id="902" name="Option Button 901">
          <a:extLst>
            <a:ext uri="{FF2B5EF4-FFF2-40B4-BE49-F238E27FC236}">
              <a16:creationId xmlns:a16="http://schemas.microsoft.com/office/drawing/2014/main" id="{00000000-0008-0000-3200-00008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3" name="Option Button 902">
          <a:extLst>
            <a:ext uri="{FF2B5EF4-FFF2-40B4-BE49-F238E27FC236}">
              <a16:creationId xmlns:a16="http://schemas.microsoft.com/office/drawing/2014/main" id="{00000000-0008-0000-3200-00008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4" name="Option Button 903">
          <a:extLst>
            <a:ext uri="{FF2B5EF4-FFF2-40B4-BE49-F238E27FC236}">
              <a16:creationId xmlns:a16="http://schemas.microsoft.com/office/drawing/2014/main" id="{00000000-0008-0000-3200-00008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5" name="Option Button 904">
          <a:extLst>
            <a:ext uri="{FF2B5EF4-FFF2-40B4-BE49-F238E27FC236}">
              <a16:creationId xmlns:a16="http://schemas.microsoft.com/office/drawing/2014/main" id="{00000000-0008-0000-3200-00008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6" name="Group Box 905" descr="Group Box 5">
          <a:extLst>
            <a:ext uri="{FF2B5EF4-FFF2-40B4-BE49-F238E27FC236}">
              <a16:creationId xmlns:a16="http://schemas.microsoft.com/office/drawing/2014/main" id="{00000000-0008-0000-3200-00008A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201</xdr:row>
      <xdr:rowOff>28440</xdr:rowOff>
    </xdr:from>
    <xdr:to>
      <xdr:col>7</xdr:col>
      <xdr:colOff>-363960</xdr:colOff>
      <xdr:row>202</xdr:row>
      <xdr:rowOff>0</xdr:rowOff>
    </xdr:to>
    <xdr:sp macro="" textlink="">
      <xdr:nvSpPr>
        <xdr:cNvPr id="907" name="Option Button 906">
          <a:extLst>
            <a:ext uri="{FF2B5EF4-FFF2-40B4-BE49-F238E27FC236}">
              <a16:creationId xmlns:a16="http://schemas.microsoft.com/office/drawing/2014/main" id="{00000000-0008-0000-3200-00008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8" name="Option Button 907">
          <a:extLst>
            <a:ext uri="{FF2B5EF4-FFF2-40B4-BE49-F238E27FC236}">
              <a16:creationId xmlns:a16="http://schemas.microsoft.com/office/drawing/2014/main" id="{00000000-0008-0000-3200-00008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9" name="Option Button 908">
          <a:extLst>
            <a:ext uri="{FF2B5EF4-FFF2-40B4-BE49-F238E27FC236}">
              <a16:creationId xmlns:a16="http://schemas.microsoft.com/office/drawing/2014/main" id="{00000000-0008-0000-3200-00008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0" name="Option Button 909">
          <a:extLst>
            <a:ext uri="{FF2B5EF4-FFF2-40B4-BE49-F238E27FC236}">
              <a16:creationId xmlns:a16="http://schemas.microsoft.com/office/drawing/2014/main" id="{00000000-0008-0000-3200-00008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1" name="Group Box 910" descr="Group Box 5">
          <a:extLst>
            <a:ext uri="{FF2B5EF4-FFF2-40B4-BE49-F238E27FC236}">
              <a16:creationId xmlns:a16="http://schemas.microsoft.com/office/drawing/2014/main" id="{00000000-0008-0000-3200-00008F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202</xdr:row>
      <xdr:rowOff>28440</xdr:rowOff>
    </xdr:from>
    <xdr:to>
      <xdr:col>7</xdr:col>
      <xdr:colOff>-363960</xdr:colOff>
      <xdr:row>203</xdr:row>
      <xdr:rowOff>0</xdr:rowOff>
    </xdr:to>
    <xdr:sp macro="" textlink="">
      <xdr:nvSpPr>
        <xdr:cNvPr id="912" name="Option Button 911">
          <a:extLst>
            <a:ext uri="{FF2B5EF4-FFF2-40B4-BE49-F238E27FC236}">
              <a16:creationId xmlns:a16="http://schemas.microsoft.com/office/drawing/2014/main" id="{00000000-0008-0000-3200-00009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3" name="Option Button 912">
          <a:extLst>
            <a:ext uri="{FF2B5EF4-FFF2-40B4-BE49-F238E27FC236}">
              <a16:creationId xmlns:a16="http://schemas.microsoft.com/office/drawing/2014/main" id="{00000000-0008-0000-3200-00009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4" name="Option Button 913">
          <a:extLst>
            <a:ext uri="{FF2B5EF4-FFF2-40B4-BE49-F238E27FC236}">
              <a16:creationId xmlns:a16="http://schemas.microsoft.com/office/drawing/2014/main" id="{00000000-0008-0000-3200-00009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5" name="Option Button 914">
          <a:extLst>
            <a:ext uri="{FF2B5EF4-FFF2-40B4-BE49-F238E27FC236}">
              <a16:creationId xmlns:a16="http://schemas.microsoft.com/office/drawing/2014/main" id="{00000000-0008-0000-3200-00009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6" name="Group Box 915" descr="Group Box 5">
          <a:extLst>
            <a:ext uri="{FF2B5EF4-FFF2-40B4-BE49-F238E27FC236}">
              <a16:creationId xmlns:a16="http://schemas.microsoft.com/office/drawing/2014/main" id="{00000000-0008-0000-3200-000094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203</xdr:row>
      <xdr:rowOff>28440</xdr:rowOff>
    </xdr:from>
    <xdr:to>
      <xdr:col>7</xdr:col>
      <xdr:colOff>-363960</xdr:colOff>
      <xdr:row>204</xdr:row>
      <xdr:rowOff>0</xdr:rowOff>
    </xdr:to>
    <xdr:sp macro="" textlink="">
      <xdr:nvSpPr>
        <xdr:cNvPr id="917" name="Option Button 916">
          <a:extLst>
            <a:ext uri="{FF2B5EF4-FFF2-40B4-BE49-F238E27FC236}">
              <a16:creationId xmlns:a16="http://schemas.microsoft.com/office/drawing/2014/main" id="{00000000-0008-0000-3200-00009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8" name="Option Button 917">
          <a:extLst>
            <a:ext uri="{FF2B5EF4-FFF2-40B4-BE49-F238E27FC236}">
              <a16:creationId xmlns:a16="http://schemas.microsoft.com/office/drawing/2014/main" id="{00000000-0008-0000-3200-00009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9" name="Option Button 918">
          <a:extLst>
            <a:ext uri="{FF2B5EF4-FFF2-40B4-BE49-F238E27FC236}">
              <a16:creationId xmlns:a16="http://schemas.microsoft.com/office/drawing/2014/main" id="{00000000-0008-0000-3200-00009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0" name="Option Button 919">
          <a:extLst>
            <a:ext uri="{FF2B5EF4-FFF2-40B4-BE49-F238E27FC236}">
              <a16:creationId xmlns:a16="http://schemas.microsoft.com/office/drawing/2014/main" id="{00000000-0008-0000-3200-00009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1" name="Group Box 920" descr="Group Box 5">
          <a:extLst>
            <a:ext uri="{FF2B5EF4-FFF2-40B4-BE49-F238E27FC236}">
              <a16:creationId xmlns:a16="http://schemas.microsoft.com/office/drawing/2014/main" id="{00000000-0008-0000-3200-000099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204</xdr:row>
      <xdr:rowOff>28440</xdr:rowOff>
    </xdr:from>
    <xdr:to>
      <xdr:col>7</xdr:col>
      <xdr:colOff>-363960</xdr:colOff>
      <xdr:row>205</xdr:row>
      <xdr:rowOff>0</xdr:rowOff>
    </xdr:to>
    <xdr:sp macro="" textlink="">
      <xdr:nvSpPr>
        <xdr:cNvPr id="922" name="Option Button 921">
          <a:extLst>
            <a:ext uri="{FF2B5EF4-FFF2-40B4-BE49-F238E27FC236}">
              <a16:creationId xmlns:a16="http://schemas.microsoft.com/office/drawing/2014/main" id="{00000000-0008-0000-3200-00009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3" name="Option Button 922">
          <a:extLst>
            <a:ext uri="{FF2B5EF4-FFF2-40B4-BE49-F238E27FC236}">
              <a16:creationId xmlns:a16="http://schemas.microsoft.com/office/drawing/2014/main" id="{00000000-0008-0000-3200-00009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4" name="Option Button 923">
          <a:extLst>
            <a:ext uri="{FF2B5EF4-FFF2-40B4-BE49-F238E27FC236}">
              <a16:creationId xmlns:a16="http://schemas.microsoft.com/office/drawing/2014/main" id="{00000000-0008-0000-3200-00009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5" name="Option Button 924">
          <a:extLst>
            <a:ext uri="{FF2B5EF4-FFF2-40B4-BE49-F238E27FC236}">
              <a16:creationId xmlns:a16="http://schemas.microsoft.com/office/drawing/2014/main" id="{00000000-0008-0000-3200-00009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6" name="Group Box 925" descr="Group Box 5">
          <a:extLst>
            <a:ext uri="{FF2B5EF4-FFF2-40B4-BE49-F238E27FC236}">
              <a16:creationId xmlns:a16="http://schemas.microsoft.com/office/drawing/2014/main" id="{00000000-0008-0000-3200-00009E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205</xdr:row>
      <xdr:rowOff>28440</xdr:rowOff>
    </xdr:from>
    <xdr:to>
      <xdr:col>7</xdr:col>
      <xdr:colOff>-363960</xdr:colOff>
      <xdr:row>206</xdr:row>
      <xdr:rowOff>0</xdr:rowOff>
    </xdr:to>
    <xdr:sp macro="" textlink="">
      <xdr:nvSpPr>
        <xdr:cNvPr id="927" name="Option Button 926">
          <a:extLst>
            <a:ext uri="{FF2B5EF4-FFF2-40B4-BE49-F238E27FC236}">
              <a16:creationId xmlns:a16="http://schemas.microsoft.com/office/drawing/2014/main" id="{00000000-0008-0000-3200-00009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8" name="Option Button 927">
          <a:extLst>
            <a:ext uri="{FF2B5EF4-FFF2-40B4-BE49-F238E27FC236}">
              <a16:creationId xmlns:a16="http://schemas.microsoft.com/office/drawing/2014/main" id="{00000000-0008-0000-3200-0000A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9" name="Option Button 928">
          <a:extLst>
            <a:ext uri="{FF2B5EF4-FFF2-40B4-BE49-F238E27FC236}">
              <a16:creationId xmlns:a16="http://schemas.microsoft.com/office/drawing/2014/main" id="{00000000-0008-0000-3200-0000A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0" name="Option Button 929">
          <a:extLst>
            <a:ext uri="{FF2B5EF4-FFF2-40B4-BE49-F238E27FC236}">
              <a16:creationId xmlns:a16="http://schemas.microsoft.com/office/drawing/2014/main" id="{00000000-0008-0000-3200-0000A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1" name="Group Box 930" descr="Group Box 5">
          <a:extLst>
            <a:ext uri="{FF2B5EF4-FFF2-40B4-BE49-F238E27FC236}">
              <a16:creationId xmlns:a16="http://schemas.microsoft.com/office/drawing/2014/main" id="{00000000-0008-0000-3200-0000A3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206</xdr:row>
      <xdr:rowOff>28440</xdr:rowOff>
    </xdr:from>
    <xdr:to>
      <xdr:col>7</xdr:col>
      <xdr:colOff>-363960</xdr:colOff>
      <xdr:row>207</xdr:row>
      <xdr:rowOff>0</xdr:rowOff>
    </xdr:to>
    <xdr:sp macro="" textlink="">
      <xdr:nvSpPr>
        <xdr:cNvPr id="932" name="Option Button 931">
          <a:extLst>
            <a:ext uri="{FF2B5EF4-FFF2-40B4-BE49-F238E27FC236}">
              <a16:creationId xmlns:a16="http://schemas.microsoft.com/office/drawing/2014/main" id="{00000000-0008-0000-3200-0000A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3" name="Option Button 932">
          <a:extLst>
            <a:ext uri="{FF2B5EF4-FFF2-40B4-BE49-F238E27FC236}">
              <a16:creationId xmlns:a16="http://schemas.microsoft.com/office/drawing/2014/main" id="{00000000-0008-0000-3200-0000A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4" name="Option Button 933">
          <a:extLst>
            <a:ext uri="{FF2B5EF4-FFF2-40B4-BE49-F238E27FC236}">
              <a16:creationId xmlns:a16="http://schemas.microsoft.com/office/drawing/2014/main" id="{00000000-0008-0000-3200-0000A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5" name="Option Button 934">
          <a:extLst>
            <a:ext uri="{FF2B5EF4-FFF2-40B4-BE49-F238E27FC236}">
              <a16:creationId xmlns:a16="http://schemas.microsoft.com/office/drawing/2014/main" id="{00000000-0008-0000-3200-0000A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6" name="Group Box 935" descr="Group Box 5">
          <a:extLst>
            <a:ext uri="{FF2B5EF4-FFF2-40B4-BE49-F238E27FC236}">
              <a16:creationId xmlns:a16="http://schemas.microsoft.com/office/drawing/2014/main" id="{00000000-0008-0000-3200-0000A8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207</xdr:row>
      <xdr:rowOff>28440</xdr:rowOff>
    </xdr:from>
    <xdr:to>
      <xdr:col>7</xdr:col>
      <xdr:colOff>-363960</xdr:colOff>
      <xdr:row>208</xdr:row>
      <xdr:rowOff>0</xdr:rowOff>
    </xdr:to>
    <xdr:sp macro="" textlink="">
      <xdr:nvSpPr>
        <xdr:cNvPr id="937" name="Option Button 936">
          <a:extLst>
            <a:ext uri="{FF2B5EF4-FFF2-40B4-BE49-F238E27FC236}">
              <a16:creationId xmlns:a16="http://schemas.microsoft.com/office/drawing/2014/main" id="{00000000-0008-0000-3200-0000A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8" name="Option Button 937">
          <a:extLst>
            <a:ext uri="{FF2B5EF4-FFF2-40B4-BE49-F238E27FC236}">
              <a16:creationId xmlns:a16="http://schemas.microsoft.com/office/drawing/2014/main" id="{00000000-0008-0000-3200-0000A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9" name="Option Button 938">
          <a:extLst>
            <a:ext uri="{FF2B5EF4-FFF2-40B4-BE49-F238E27FC236}">
              <a16:creationId xmlns:a16="http://schemas.microsoft.com/office/drawing/2014/main" id="{00000000-0008-0000-3200-0000A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0" name="Option Button 939">
          <a:extLst>
            <a:ext uri="{FF2B5EF4-FFF2-40B4-BE49-F238E27FC236}">
              <a16:creationId xmlns:a16="http://schemas.microsoft.com/office/drawing/2014/main" id="{00000000-0008-0000-3200-0000A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1" name="Group Box 940" descr="Group Box 5">
          <a:extLst>
            <a:ext uri="{FF2B5EF4-FFF2-40B4-BE49-F238E27FC236}">
              <a16:creationId xmlns:a16="http://schemas.microsoft.com/office/drawing/2014/main" id="{00000000-0008-0000-3200-0000AD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208</xdr:row>
      <xdr:rowOff>28440</xdr:rowOff>
    </xdr:from>
    <xdr:to>
      <xdr:col>7</xdr:col>
      <xdr:colOff>-363960</xdr:colOff>
      <xdr:row>209</xdr:row>
      <xdr:rowOff>0</xdr:rowOff>
    </xdr:to>
    <xdr:sp macro="" textlink="">
      <xdr:nvSpPr>
        <xdr:cNvPr id="942" name="Option Button 941">
          <a:extLst>
            <a:ext uri="{FF2B5EF4-FFF2-40B4-BE49-F238E27FC236}">
              <a16:creationId xmlns:a16="http://schemas.microsoft.com/office/drawing/2014/main" id="{00000000-0008-0000-3200-0000A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3" name="Option Button 942">
          <a:extLst>
            <a:ext uri="{FF2B5EF4-FFF2-40B4-BE49-F238E27FC236}">
              <a16:creationId xmlns:a16="http://schemas.microsoft.com/office/drawing/2014/main" id="{00000000-0008-0000-3200-0000A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4" name="Option Button 943">
          <a:extLst>
            <a:ext uri="{FF2B5EF4-FFF2-40B4-BE49-F238E27FC236}">
              <a16:creationId xmlns:a16="http://schemas.microsoft.com/office/drawing/2014/main" id="{00000000-0008-0000-3200-0000B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5" name="Option Button 944">
          <a:extLst>
            <a:ext uri="{FF2B5EF4-FFF2-40B4-BE49-F238E27FC236}">
              <a16:creationId xmlns:a16="http://schemas.microsoft.com/office/drawing/2014/main" id="{00000000-0008-0000-3200-0000B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6" name="Group Box 945" descr="Group Box 5">
          <a:extLst>
            <a:ext uri="{FF2B5EF4-FFF2-40B4-BE49-F238E27FC236}">
              <a16:creationId xmlns:a16="http://schemas.microsoft.com/office/drawing/2014/main" id="{00000000-0008-0000-3200-0000B2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209</xdr:row>
      <xdr:rowOff>28440</xdr:rowOff>
    </xdr:from>
    <xdr:to>
      <xdr:col>7</xdr:col>
      <xdr:colOff>-363960</xdr:colOff>
      <xdr:row>210</xdr:row>
      <xdr:rowOff>0</xdr:rowOff>
    </xdr:to>
    <xdr:sp macro="" textlink="">
      <xdr:nvSpPr>
        <xdr:cNvPr id="947" name="Option Button 946">
          <a:extLst>
            <a:ext uri="{FF2B5EF4-FFF2-40B4-BE49-F238E27FC236}">
              <a16:creationId xmlns:a16="http://schemas.microsoft.com/office/drawing/2014/main" id="{00000000-0008-0000-3200-0000B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8" name="Option Button 947">
          <a:extLst>
            <a:ext uri="{FF2B5EF4-FFF2-40B4-BE49-F238E27FC236}">
              <a16:creationId xmlns:a16="http://schemas.microsoft.com/office/drawing/2014/main" id="{00000000-0008-0000-3200-0000B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9" name="Option Button 948">
          <a:extLst>
            <a:ext uri="{FF2B5EF4-FFF2-40B4-BE49-F238E27FC236}">
              <a16:creationId xmlns:a16="http://schemas.microsoft.com/office/drawing/2014/main" id="{00000000-0008-0000-3200-0000B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0" name="Option Button 949">
          <a:extLst>
            <a:ext uri="{FF2B5EF4-FFF2-40B4-BE49-F238E27FC236}">
              <a16:creationId xmlns:a16="http://schemas.microsoft.com/office/drawing/2014/main" id="{00000000-0008-0000-3200-0000B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1" name="Group Box 950" descr="Group Box 5">
          <a:extLst>
            <a:ext uri="{FF2B5EF4-FFF2-40B4-BE49-F238E27FC236}">
              <a16:creationId xmlns:a16="http://schemas.microsoft.com/office/drawing/2014/main" id="{00000000-0008-0000-3200-0000B7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210</xdr:row>
      <xdr:rowOff>28440</xdr:rowOff>
    </xdr:from>
    <xdr:to>
      <xdr:col>7</xdr:col>
      <xdr:colOff>-363960</xdr:colOff>
      <xdr:row>211</xdr:row>
      <xdr:rowOff>0</xdr:rowOff>
    </xdr:to>
    <xdr:sp macro="" textlink="">
      <xdr:nvSpPr>
        <xdr:cNvPr id="952" name="Option Button 951">
          <a:extLst>
            <a:ext uri="{FF2B5EF4-FFF2-40B4-BE49-F238E27FC236}">
              <a16:creationId xmlns:a16="http://schemas.microsoft.com/office/drawing/2014/main" id="{00000000-0008-0000-3200-0000B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3" name="Option Button 952">
          <a:extLst>
            <a:ext uri="{FF2B5EF4-FFF2-40B4-BE49-F238E27FC236}">
              <a16:creationId xmlns:a16="http://schemas.microsoft.com/office/drawing/2014/main" id="{00000000-0008-0000-3200-0000B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4" name="Option Button 953">
          <a:extLst>
            <a:ext uri="{FF2B5EF4-FFF2-40B4-BE49-F238E27FC236}">
              <a16:creationId xmlns:a16="http://schemas.microsoft.com/office/drawing/2014/main" id="{00000000-0008-0000-3200-0000B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5" name="Option Button 954">
          <a:extLst>
            <a:ext uri="{FF2B5EF4-FFF2-40B4-BE49-F238E27FC236}">
              <a16:creationId xmlns:a16="http://schemas.microsoft.com/office/drawing/2014/main" id="{00000000-0008-0000-3200-0000B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6" name="Group Box 955" descr="Group Box 5">
          <a:extLst>
            <a:ext uri="{FF2B5EF4-FFF2-40B4-BE49-F238E27FC236}">
              <a16:creationId xmlns:a16="http://schemas.microsoft.com/office/drawing/2014/main" id="{00000000-0008-0000-3200-0000BC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211</xdr:row>
      <xdr:rowOff>28440</xdr:rowOff>
    </xdr:from>
    <xdr:to>
      <xdr:col>7</xdr:col>
      <xdr:colOff>-363960</xdr:colOff>
      <xdr:row>212</xdr:row>
      <xdr:rowOff>0</xdr:rowOff>
    </xdr:to>
    <xdr:sp macro="" textlink="">
      <xdr:nvSpPr>
        <xdr:cNvPr id="957" name="Option Button 956">
          <a:extLst>
            <a:ext uri="{FF2B5EF4-FFF2-40B4-BE49-F238E27FC236}">
              <a16:creationId xmlns:a16="http://schemas.microsoft.com/office/drawing/2014/main" id="{00000000-0008-0000-3200-0000B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8" name="Option Button 957">
          <a:extLst>
            <a:ext uri="{FF2B5EF4-FFF2-40B4-BE49-F238E27FC236}">
              <a16:creationId xmlns:a16="http://schemas.microsoft.com/office/drawing/2014/main" id="{00000000-0008-0000-3200-0000B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9" name="Option Button 958">
          <a:extLst>
            <a:ext uri="{FF2B5EF4-FFF2-40B4-BE49-F238E27FC236}">
              <a16:creationId xmlns:a16="http://schemas.microsoft.com/office/drawing/2014/main" id="{00000000-0008-0000-3200-0000B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0" name="Option Button 959">
          <a:extLst>
            <a:ext uri="{FF2B5EF4-FFF2-40B4-BE49-F238E27FC236}">
              <a16:creationId xmlns:a16="http://schemas.microsoft.com/office/drawing/2014/main" id="{00000000-0008-0000-3200-0000C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1" name="Group Box 960" descr="Group Box 5">
          <a:extLst>
            <a:ext uri="{FF2B5EF4-FFF2-40B4-BE49-F238E27FC236}">
              <a16:creationId xmlns:a16="http://schemas.microsoft.com/office/drawing/2014/main" id="{00000000-0008-0000-3200-0000C1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212</xdr:row>
      <xdr:rowOff>28440</xdr:rowOff>
    </xdr:from>
    <xdr:to>
      <xdr:col>7</xdr:col>
      <xdr:colOff>-363960</xdr:colOff>
      <xdr:row>213</xdr:row>
      <xdr:rowOff>0</xdr:rowOff>
    </xdr:to>
    <xdr:sp macro="" textlink="">
      <xdr:nvSpPr>
        <xdr:cNvPr id="962" name="Option Button 961">
          <a:extLst>
            <a:ext uri="{FF2B5EF4-FFF2-40B4-BE49-F238E27FC236}">
              <a16:creationId xmlns:a16="http://schemas.microsoft.com/office/drawing/2014/main" id="{00000000-0008-0000-3200-0000C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3" name="Option Button 962">
          <a:extLst>
            <a:ext uri="{FF2B5EF4-FFF2-40B4-BE49-F238E27FC236}">
              <a16:creationId xmlns:a16="http://schemas.microsoft.com/office/drawing/2014/main" id="{00000000-0008-0000-3200-0000C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4" name="Option Button 963">
          <a:extLst>
            <a:ext uri="{FF2B5EF4-FFF2-40B4-BE49-F238E27FC236}">
              <a16:creationId xmlns:a16="http://schemas.microsoft.com/office/drawing/2014/main" id="{00000000-0008-0000-3200-0000C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5" name="Option Button 964">
          <a:extLst>
            <a:ext uri="{FF2B5EF4-FFF2-40B4-BE49-F238E27FC236}">
              <a16:creationId xmlns:a16="http://schemas.microsoft.com/office/drawing/2014/main" id="{00000000-0008-0000-3200-0000C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6" name="Group Box 965" descr="Group Box 5">
          <a:extLst>
            <a:ext uri="{FF2B5EF4-FFF2-40B4-BE49-F238E27FC236}">
              <a16:creationId xmlns:a16="http://schemas.microsoft.com/office/drawing/2014/main" id="{00000000-0008-0000-3200-0000C6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213</xdr:row>
      <xdr:rowOff>28440</xdr:rowOff>
    </xdr:from>
    <xdr:to>
      <xdr:col>7</xdr:col>
      <xdr:colOff>-363960</xdr:colOff>
      <xdr:row>214</xdr:row>
      <xdr:rowOff>0</xdr:rowOff>
    </xdr:to>
    <xdr:sp macro="" textlink="">
      <xdr:nvSpPr>
        <xdr:cNvPr id="967" name="Option Button 966">
          <a:extLst>
            <a:ext uri="{FF2B5EF4-FFF2-40B4-BE49-F238E27FC236}">
              <a16:creationId xmlns:a16="http://schemas.microsoft.com/office/drawing/2014/main" id="{00000000-0008-0000-3200-0000C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8" name="Option Button 967">
          <a:extLst>
            <a:ext uri="{FF2B5EF4-FFF2-40B4-BE49-F238E27FC236}">
              <a16:creationId xmlns:a16="http://schemas.microsoft.com/office/drawing/2014/main" id="{00000000-0008-0000-3200-0000C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9" name="Option Button 968">
          <a:extLst>
            <a:ext uri="{FF2B5EF4-FFF2-40B4-BE49-F238E27FC236}">
              <a16:creationId xmlns:a16="http://schemas.microsoft.com/office/drawing/2014/main" id="{00000000-0008-0000-3200-0000C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0" name="Option Button 969">
          <a:extLst>
            <a:ext uri="{FF2B5EF4-FFF2-40B4-BE49-F238E27FC236}">
              <a16:creationId xmlns:a16="http://schemas.microsoft.com/office/drawing/2014/main" id="{00000000-0008-0000-3200-0000C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1" name="Group Box 970" descr="Group Box 5">
          <a:extLst>
            <a:ext uri="{FF2B5EF4-FFF2-40B4-BE49-F238E27FC236}">
              <a16:creationId xmlns:a16="http://schemas.microsoft.com/office/drawing/2014/main" id="{00000000-0008-0000-3200-0000CB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214</xdr:row>
      <xdr:rowOff>28440</xdr:rowOff>
    </xdr:from>
    <xdr:to>
      <xdr:col>7</xdr:col>
      <xdr:colOff>-363960</xdr:colOff>
      <xdr:row>215</xdr:row>
      <xdr:rowOff>0</xdr:rowOff>
    </xdr:to>
    <xdr:sp macro="" textlink="">
      <xdr:nvSpPr>
        <xdr:cNvPr id="972" name="Option Button 971">
          <a:extLst>
            <a:ext uri="{FF2B5EF4-FFF2-40B4-BE49-F238E27FC236}">
              <a16:creationId xmlns:a16="http://schemas.microsoft.com/office/drawing/2014/main" id="{00000000-0008-0000-3200-0000C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3" name="Option Button 972">
          <a:extLst>
            <a:ext uri="{FF2B5EF4-FFF2-40B4-BE49-F238E27FC236}">
              <a16:creationId xmlns:a16="http://schemas.microsoft.com/office/drawing/2014/main" id="{00000000-0008-0000-3200-0000C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4" name="Option Button 973">
          <a:extLst>
            <a:ext uri="{FF2B5EF4-FFF2-40B4-BE49-F238E27FC236}">
              <a16:creationId xmlns:a16="http://schemas.microsoft.com/office/drawing/2014/main" id="{00000000-0008-0000-3200-0000C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5" name="Option Button 974">
          <a:extLst>
            <a:ext uri="{FF2B5EF4-FFF2-40B4-BE49-F238E27FC236}">
              <a16:creationId xmlns:a16="http://schemas.microsoft.com/office/drawing/2014/main" id="{00000000-0008-0000-3200-0000C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6" name="Group Box 975" descr="Group Box 5">
          <a:extLst>
            <a:ext uri="{FF2B5EF4-FFF2-40B4-BE49-F238E27FC236}">
              <a16:creationId xmlns:a16="http://schemas.microsoft.com/office/drawing/2014/main" id="{00000000-0008-0000-3200-0000D0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215</xdr:row>
      <xdr:rowOff>28440</xdr:rowOff>
    </xdr:from>
    <xdr:to>
      <xdr:col>7</xdr:col>
      <xdr:colOff>-363960</xdr:colOff>
      <xdr:row>216</xdr:row>
      <xdr:rowOff>0</xdr:rowOff>
    </xdr:to>
    <xdr:sp macro="" textlink="">
      <xdr:nvSpPr>
        <xdr:cNvPr id="977" name="Option Button 976">
          <a:extLst>
            <a:ext uri="{FF2B5EF4-FFF2-40B4-BE49-F238E27FC236}">
              <a16:creationId xmlns:a16="http://schemas.microsoft.com/office/drawing/2014/main" id="{00000000-0008-0000-3200-0000D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8" name="Option Button 977">
          <a:extLst>
            <a:ext uri="{FF2B5EF4-FFF2-40B4-BE49-F238E27FC236}">
              <a16:creationId xmlns:a16="http://schemas.microsoft.com/office/drawing/2014/main" id="{00000000-0008-0000-3200-0000D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9" name="Option Button 978">
          <a:extLst>
            <a:ext uri="{FF2B5EF4-FFF2-40B4-BE49-F238E27FC236}">
              <a16:creationId xmlns:a16="http://schemas.microsoft.com/office/drawing/2014/main" id="{00000000-0008-0000-3200-0000D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0" name="Option Button 979">
          <a:extLst>
            <a:ext uri="{FF2B5EF4-FFF2-40B4-BE49-F238E27FC236}">
              <a16:creationId xmlns:a16="http://schemas.microsoft.com/office/drawing/2014/main" id="{00000000-0008-0000-3200-0000D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1" name="Group Box 980" descr="Group Box 5">
          <a:extLst>
            <a:ext uri="{FF2B5EF4-FFF2-40B4-BE49-F238E27FC236}">
              <a16:creationId xmlns:a16="http://schemas.microsoft.com/office/drawing/2014/main" id="{00000000-0008-0000-3200-0000D5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216</xdr:row>
      <xdr:rowOff>28440</xdr:rowOff>
    </xdr:from>
    <xdr:to>
      <xdr:col>7</xdr:col>
      <xdr:colOff>-363960</xdr:colOff>
      <xdr:row>217</xdr:row>
      <xdr:rowOff>0</xdr:rowOff>
    </xdr:to>
    <xdr:sp macro="" textlink="">
      <xdr:nvSpPr>
        <xdr:cNvPr id="982" name="Option Button 981">
          <a:extLst>
            <a:ext uri="{FF2B5EF4-FFF2-40B4-BE49-F238E27FC236}">
              <a16:creationId xmlns:a16="http://schemas.microsoft.com/office/drawing/2014/main" id="{00000000-0008-0000-3200-0000D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3" name="Option Button 982">
          <a:extLst>
            <a:ext uri="{FF2B5EF4-FFF2-40B4-BE49-F238E27FC236}">
              <a16:creationId xmlns:a16="http://schemas.microsoft.com/office/drawing/2014/main" id="{00000000-0008-0000-3200-0000D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4" name="Option Button 983">
          <a:extLst>
            <a:ext uri="{FF2B5EF4-FFF2-40B4-BE49-F238E27FC236}">
              <a16:creationId xmlns:a16="http://schemas.microsoft.com/office/drawing/2014/main" id="{00000000-0008-0000-3200-0000D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5" name="Option Button 984">
          <a:extLst>
            <a:ext uri="{FF2B5EF4-FFF2-40B4-BE49-F238E27FC236}">
              <a16:creationId xmlns:a16="http://schemas.microsoft.com/office/drawing/2014/main" id="{00000000-0008-0000-3200-0000D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6" name="Group Box 985" descr="Group Box 5">
          <a:extLst>
            <a:ext uri="{FF2B5EF4-FFF2-40B4-BE49-F238E27FC236}">
              <a16:creationId xmlns:a16="http://schemas.microsoft.com/office/drawing/2014/main" id="{00000000-0008-0000-3200-0000DA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217</xdr:row>
      <xdr:rowOff>28440</xdr:rowOff>
    </xdr:from>
    <xdr:to>
      <xdr:col>7</xdr:col>
      <xdr:colOff>-363960</xdr:colOff>
      <xdr:row>218</xdr:row>
      <xdr:rowOff>0</xdr:rowOff>
    </xdr:to>
    <xdr:sp macro="" textlink="">
      <xdr:nvSpPr>
        <xdr:cNvPr id="987" name="Option Button 986">
          <a:extLst>
            <a:ext uri="{FF2B5EF4-FFF2-40B4-BE49-F238E27FC236}">
              <a16:creationId xmlns:a16="http://schemas.microsoft.com/office/drawing/2014/main" id="{00000000-0008-0000-3200-0000D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8" name="Option Button 987">
          <a:extLst>
            <a:ext uri="{FF2B5EF4-FFF2-40B4-BE49-F238E27FC236}">
              <a16:creationId xmlns:a16="http://schemas.microsoft.com/office/drawing/2014/main" id="{00000000-0008-0000-3200-0000D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9" name="Option Button 988">
          <a:extLst>
            <a:ext uri="{FF2B5EF4-FFF2-40B4-BE49-F238E27FC236}">
              <a16:creationId xmlns:a16="http://schemas.microsoft.com/office/drawing/2014/main" id="{00000000-0008-0000-3200-0000D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0" name="Option Button 989">
          <a:extLst>
            <a:ext uri="{FF2B5EF4-FFF2-40B4-BE49-F238E27FC236}">
              <a16:creationId xmlns:a16="http://schemas.microsoft.com/office/drawing/2014/main" id="{00000000-0008-0000-3200-0000D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1" name="Group Box 990" descr="Group Box 5">
          <a:extLst>
            <a:ext uri="{FF2B5EF4-FFF2-40B4-BE49-F238E27FC236}">
              <a16:creationId xmlns:a16="http://schemas.microsoft.com/office/drawing/2014/main" id="{00000000-0008-0000-3200-0000DF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218</xdr:row>
      <xdr:rowOff>28440</xdr:rowOff>
    </xdr:from>
    <xdr:to>
      <xdr:col>7</xdr:col>
      <xdr:colOff>-363960</xdr:colOff>
      <xdr:row>219</xdr:row>
      <xdr:rowOff>0</xdr:rowOff>
    </xdr:to>
    <xdr:sp macro="" textlink="">
      <xdr:nvSpPr>
        <xdr:cNvPr id="992" name="Option Button 991">
          <a:extLst>
            <a:ext uri="{FF2B5EF4-FFF2-40B4-BE49-F238E27FC236}">
              <a16:creationId xmlns:a16="http://schemas.microsoft.com/office/drawing/2014/main" id="{00000000-0008-0000-3200-0000E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3" name="Option Button 992">
          <a:extLst>
            <a:ext uri="{FF2B5EF4-FFF2-40B4-BE49-F238E27FC236}">
              <a16:creationId xmlns:a16="http://schemas.microsoft.com/office/drawing/2014/main" id="{00000000-0008-0000-3200-0000E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4" name="Option Button 993">
          <a:extLst>
            <a:ext uri="{FF2B5EF4-FFF2-40B4-BE49-F238E27FC236}">
              <a16:creationId xmlns:a16="http://schemas.microsoft.com/office/drawing/2014/main" id="{00000000-0008-0000-3200-0000E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5" name="Option Button 994">
          <a:extLst>
            <a:ext uri="{FF2B5EF4-FFF2-40B4-BE49-F238E27FC236}">
              <a16:creationId xmlns:a16="http://schemas.microsoft.com/office/drawing/2014/main" id="{00000000-0008-0000-3200-0000E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6" name="Group Box 995" descr="Group Box 5">
          <a:extLst>
            <a:ext uri="{FF2B5EF4-FFF2-40B4-BE49-F238E27FC236}">
              <a16:creationId xmlns:a16="http://schemas.microsoft.com/office/drawing/2014/main" id="{00000000-0008-0000-3200-0000E4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219</xdr:row>
      <xdr:rowOff>28440</xdr:rowOff>
    </xdr:from>
    <xdr:to>
      <xdr:col>7</xdr:col>
      <xdr:colOff>-363960</xdr:colOff>
      <xdr:row>220</xdr:row>
      <xdr:rowOff>0</xdr:rowOff>
    </xdr:to>
    <xdr:sp macro="" textlink="">
      <xdr:nvSpPr>
        <xdr:cNvPr id="997" name="Option Button 996">
          <a:extLst>
            <a:ext uri="{FF2B5EF4-FFF2-40B4-BE49-F238E27FC236}">
              <a16:creationId xmlns:a16="http://schemas.microsoft.com/office/drawing/2014/main" id="{00000000-0008-0000-3200-0000E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8" name="Option Button 997">
          <a:extLst>
            <a:ext uri="{FF2B5EF4-FFF2-40B4-BE49-F238E27FC236}">
              <a16:creationId xmlns:a16="http://schemas.microsoft.com/office/drawing/2014/main" id="{00000000-0008-0000-3200-0000E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9" name="Option Button 998">
          <a:extLst>
            <a:ext uri="{FF2B5EF4-FFF2-40B4-BE49-F238E27FC236}">
              <a16:creationId xmlns:a16="http://schemas.microsoft.com/office/drawing/2014/main" id="{00000000-0008-0000-3200-0000E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0" name="Option Button 999">
          <a:extLst>
            <a:ext uri="{FF2B5EF4-FFF2-40B4-BE49-F238E27FC236}">
              <a16:creationId xmlns:a16="http://schemas.microsoft.com/office/drawing/2014/main" id="{00000000-0008-0000-3200-0000E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1" name="Group Box 1000" descr="Group Box 5">
          <a:extLst>
            <a:ext uri="{FF2B5EF4-FFF2-40B4-BE49-F238E27FC236}">
              <a16:creationId xmlns:a16="http://schemas.microsoft.com/office/drawing/2014/main" id="{00000000-0008-0000-3200-0000E9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220</xdr:row>
      <xdr:rowOff>28440</xdr:rowOff>
    </xdr:from>
    <xdr:to>
      <xdr:col>7</xdr:col>
      <xdr:colOff>-363960</xdr:colOff>
      <xdr:row>221</xdr:row>
      <xdr:rowOff>0</xdr:rowOff>
    </xdr:to>
    <xdr:sp macro="" textlink="">
      <xdr:nvSpPr>
        <xdr:cNvPr id="1002" name="Option Button 1001">
          <a:extLst>
            <a:ext uri="{FF2B5EF4-FFF2-40B4-BE49-F238E27FC236}">
              <a16:creationId xmlns:a16="http://schemas.microsoft.com/office/drawing/2014/main" id="{00000000-0008-0000-3200-0000E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3" name="Option Button 1002">
          <a:extLst>
            <a:ext uri="{FF2B5EF4-FFF2-40B4-BE49-F238E27FC236}">
              <a16:creationId xmlns:a16="http://schemas.microsoft.com/office/drawing/2014/main" id="{00000000-0008-0000-3200-0000E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4" name="Option Button 1003">
          <a:extLst>
            <a:ext uri="{FF2B5EF4-FFF2-40B4-BE49-F238E27FC236}">
              <a16:creationId xmlns:a16="http://schemas.microsoft.com/office/drawing/2014/main" id="{00000000-0008-0000-3200-0000E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5" name="Option Button 1004">
          <a:extLst>
            <a:ext uri="{FF2B5EF4-FFF2-40B4-BE49-F238E27FC236}">
              <a16:creationId xmlns:a16="http://schemas.microsoft.com/office/drawing/2014/main" id="{00000000-0008-0000-3200-0000E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6" name="Group Box 1005" descr="Group Box 5">
          <a:extLst>
            <a:ext uri="{FF2B5EF4-FFF2-40B4-BE49-F238E27FC236}">
              <a16:creationId xmlns:a16="http://schemas.microsoft.com/office/drawing/2014/main" id="{00000000-0008-0000-3200-0000EE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221</xdr:row>
      <xdr:rowOff>28440</xdr:rowOff>
    </xdr:from>
    <xdr:to>
      <xdr:col>7</xdr:col>
      <xdr:colOff>-363960</xdr:colOff>
      <xdr:row>222</xdr:row>
      <xdr:rowOff>0</xdr:rowOff>
    </xdr:to>
    <xdr:sp macro="" textlink="">
      <xdr:nvSpPr>
        <xdr:cNvPr id="1007" name="Option Button 1006">
          <a:extLst>
            <a:ext uri="{FF2B5EF4-FFF2-40B4-BE49-F238E27FC236}">
              <a16:creationId xmlns:a16="http://schemas.microsoft.com/office/drawing/2014/main" id="{00000000-0008-0000-3200-0000E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8" name="Option Button 1007">
          <a:extLst>
            <a:ext uri="{FF2B5EF4-FFF2-40B4-BE49-F238E27FC236}">
              <a16:creationId xmlns:a16="http://schemas.microsoft.com/office/drawing/2014/main" id="{00000000-0008-0000-3200-0000F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9" name="Option Button 1008">
          <a:extLst>
            <a:ext uri="{FF2B5EF4-FFF2-40B4-BE49-F238E27FC236}">
              <a16:creationId xmlns:a16="http://schemas.microsoft.com/office/drawing/2014/main" id="{00000000-0008-0000-3200-0000F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0" name="Option Button 1009">
          <a:extLst>
            <a:ext uri="{FF2B5EF4-FFF2-40B4-BE49-F238E27FC236}">
              <a16:creationId xmlns:a16="http://schemas.microsoft.com/office/drawing/2014/main" id="{00000000-0008-0000-3200-0000F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1" name="Group Box 1010" descr="Group Box 5">
          <a:extLst>
            <a:ext uri="{FF2B5EF4-FFF2-40B4-BE49-F238E27FC236}">
              <a16:creationId xmlns:a16="http://schemas.microsoft.com/office/drawing/2014/main" id="{00000000-0008-0000-3200-0000F3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222</xdr:row>
      <xdr:rowOff>28440</xdr:rowOff>
    </xdr:from>
    <xdr:to>
      <xdr:col>7</xdr:col>
      <xdr:colOff>-363960</xdr:colOff>
      <xdr:row>223</xdr:row>
      <xdr:rowOff>0</xdr:rowOff>
    </xdr:to>
    <xdr:sp macro="" textlink="">
      <xdr:nvSpPr>
        <xdr:cNvPr id="1012" name="Option Button 1011">
          <a:extLst>
            <a:ext uri="{FF2B5EF4-FFF2-40B4-BE49-F238E27FC236}">
              <a16:creationId xmlns:a16="http://schemas.microsoft.com/office/drawing/2014/main" id="{00000000-0008-0000-3200-0000F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3" name="Option Button 1012">
          <a:extLst>
            <a:ext uri="{FF2B5EF4-FFF2-40B4-BE49-F238E27FC236}">
              <a16:creationId xmlns:a16="http://schemas.microsoft.com/office/drawing/2014/main" id="{00000000-0008-0000-3200-0000F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4" name="Option Button 1013">
          <a:extLst>
            <a:ext uri="{FF2B5EF4-FFF2-40B4-BE49-F238E27FC236}">
              <a16:creationId xmlns:a16="http://schemas.microsoft.com/office/drawing/2014/main" id="{00000000-0008-0000-3200-0000F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5" name="Option Button 1014">
          <a:extLst>
            <a:ext uri="{FF2B5EF4-FFF2-40B4-BE49-F238E27FC236}">
              <a16:creationId xmlns:a16="http://schemas.microsoft.com/office/drawing/2014/main" id="{00000000-0008-0000-3200-0000F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6" name="Group Box 1015" descr="Group Box 5">
          <a:extLst>
            <a:ext uri="{FF2B5EF4-FFF2-40B4-BE49-F238E27FC236}">
              <a16:creationId xmlns:a16="http://schemas.microsoft.com/office/drawing/2014/main" id="{00000000-0008-0000-3200-0000F8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223</xdr:row>
      <xdr:rowOff>28440</xdr:rowOff>
    </xdr:from>
    <xdr:to>
      <xdr:col>7</xdr:col>
      <xdr:colOff>-363960</xdr:colOff>
      <xdr:row>224</xdr:row>
      <xdr:rowOff>0</xdr:rowOff>
    </xdr:to>
    <xdr:sp macro="" textlink="">
      <xdr:nvSpPr>
        <xdr:cNvPr id="1017" name="Option Button 1016">
          <a:extLst>
            <a:ext uri="{FF2B5EF4-FFF2-40B4-BE49-F238E27FC236}">
              <a16:creationId xmlns:a16="http://schemas.microsoft.com/office/drawing/2014/main" id="{00000000-0008-0000-3200-0000F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8" name="Option Button 1017">
          <a:extLst>
            <a:ext uri="{FF2B5EF4-FFF2-40B4-BE49-F238E27FC236}">
              <a16:creationId xmlns:a16="http://schemas.microsoft.com/office/drawing/2014/main" id="{00000000-0008-0000-3200-0000F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9" name="Option Button 1018">
          <a:extLst>
            <a:ext uri="{FF2B5EF4-FFF2-40B4-BE49-F238E27FC236}">
              <a16:creationId xmlns:a16="http://schemas.microsoft.com/office/drawing/2014/main" id="{00000000-0008-0000-3200-0000F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0" name="Option Button 1019">
          <a:extLst>
            <a:ext uri="{FF2B5EF4-FFF2-40B4-BE49-F238E27FC236}">
              <a16:creationId xmlns:a16="http://schemas.microsoft.com/office/drawing/2014/main" id="{00000000-0008-0000-3200-0000F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1" name="Group Box 1020" descr="Group Box 5">
          <a:extLst>
            <a:ext uri="{FF2B5EF4-FFF2-40B4-BE49-F238E27FC236}">
              <a16:creationId xmlns:a16="http://schemas.microsoft.com/office/drawing/2014/main" id="{00000000-0008-0000-3200-0000FD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224</xdr:row>
      <xdr:rowOff>28440</xdr:rowOff>
    </xdr:from>
    <xdr:to>
      <xdr:col>7</xdr:col>
      <xdr:colOff>-363960</xdr:colOff>
      <xdr:row>225</xdr:row>
      <xdr:rowOff>0</xdr:rowOff>
    </xdr:to>
    <xdr:sp macro="" textlink="">
      <xdr:nvSpPr>
        <xdr:cNvPr id="1022" name="Option Button 1021">
          <a:extLst>
            <a:ext uri="{FF2B5EF4-FFF2-40B4-BE49-F238E27FC236}">
              <a16:creationId xmlns:a16="http://schemas.microsoft.com/office/drawing/2014/main" id="{00000000-0008-0000-3200-0000F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3" name="Option Button 1022">
          <a:extLst>
            <a:ext uri="{FF2B5EF4-FFF2-40B4-BE49-F238E27FC236}">
              <a16:creationId xmlns:a16="http://schemas.microsoft.com/office/drawing/2014/main" id="{00000000-0008-0000-3200-0000F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4" name="Option Button 1023">
          <a:extLst>
            <a:ext uri="{FF2B5EF4-FFF2-40B4-BE49-F238E27FC236}">
              <a16:creationId xmlns:a16="http://schemas.microsoft.com/office/drawing/2014/main" id="{00000000-0008-0000-3200-00000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5" name="Option Button 1024">
          <a:extLst>
            <a:ext uri="{FF2B5EF4-FFF2-40B4-BE49-F238E27FC236}">
              <a16:creationId xmlns:a16="http://schemas.microsoft.com/office/drawing/2014/main" id="{00000000-0008-0000-3200-00000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6" name="Group Box 1025" descr="Group Box 5">
          <a:extLst>
            <a:ext uri="{FF2B5EF4-FFF2-40B4-BE49-F238E27FC236}">
              <a16:creationId xmlns:a16="http://schemas.microsoft.com/office/drawing/2014/main" id="{00000000-0008-0000-3200-000002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225</xdr:row>
      <xdr:rowOff>28440</xdr:rowOff>
    </xdr:from>
    <xdr:to>
      <xdr:col>7</xdr:col>
      <xdr:colOff>-363960</xdr:colOff>
      <xdr:row>226</xdr:row>
      <xdr:rowOff>0</xdr:rowOff>
    </xdr:to>
    <xdr:sp macro="" textlink="">
      <xdr:nvSpPr>
        <xdr:cNvPr id="1027" name="Option Button 1026">
          <a:extLst>
            <a:ext uri="{FF2B5EF4-FFF2-40B4-BE49-F238E27FC236}">
              <a16:creationId xmlns:a16="http://schemas.microsoft.com/office/drawing/2014/main" id="{00000000-0008-0000-3200-00000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8" name="Option Button 1027">
          <a:extLst>
            <a:ext uri="{FF2B5EF4-FFF2-40B4-BE49-F238E27FC236}">
              <a16:creationId xmlns:a16="http://schemas.microsoft.com/office/drawing/2014/main" id="{00000000-0008-0000-3200-00000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9" name="Option Button 1028">
          <a:extLst>
            <a:ext uri="{FF2B5EF4-FFF2-40B4-BE49-F238E27FC236}">
              <a16:creationId xmlns:a16="http://schemas.microsoft.com/office/drawing/2014/main" id="{00000000-0008-0000-3200-00000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0" name="Option Button 1029">
          <a:extLst>
            <a:ext uri="{FF2B5EF4-FFF2-40B4-BE49-F238E27FC236}">
              <a16:creationId xmlns:a16="http://schemas.microsoft.com/office/drawing/2014/main" id="{00000000-0008-0000-3200-00000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1" name="Group Box 1030" descr="Group Box 5">
          <a:extLst>
            <a:ext uri="{FF2B5EF4-FFF2-40B4-BE49-F238E27FC236}">
              <a16:creationId xmlns:a16="http://schemas.microsoft.com/office/drawing/2014/main" id="{00000000-0008-0000-3200-000007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226</xdr:row>
      <xdr:rowOff>28440</xdr:rowOff>
    </xdr:from>
    <xdr:to>
      <xdr:col>7</xdr:col>
      <xdr:colOff>-363960</xdr:colOff>
      <xdr:row>227</xdr:row>
      <xdr:rowOff>0</xdr:rowOff>
    </xdr:to>
    <xdr:sp macro="" textlink="">
      <xdr:nvSpPr>
        <xdr:cNvPr id="1032" name="Option Button 1031">
          <a:extLst>
            <a:ext uri="{FF2B5EF4-FFF2-40B4-BE49-F238E27FC236}">
              <a16:creationId xmlns:a16="http://schemas.microsoft.com/office/drawing/2014/main" id="{00000000-0008-0000-3200-00000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3" name="Option Button 1032">
          <a:extLst>
            <a:ext uri="{FF2B5EF4-FFF2-40B4-BE49-F238E27FC236}">
              <a16:creationId xmlns:a16="http://schemas.microsoft.com/office/drawing/2014/main" id="{00000000-0008-0000-3200-00000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4" name="Option Button 1033">
          <a:extLst>
            <a:ext uri="{FF2B5EF4-FFF2-40B4-BE49-F238E27FC236}">
              <a16:creationId xmlns:a16="http://schemas.microsoft.com/office/drawing/2014/main" id="{00000000-0008-0000-3200-00000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5" name="Option Button 1034">
          <a:extLst>
            <a:ext uri="{FF2B5EF4-FFF2-40B4-BE49-F238E27FC236}">
              <a16:creationId xmlns:a16="http://schemas.microsoft.com/office/drawing/2014/main" id="{00000000-0008-0000-3200-00000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6" name="Group Box 1035" descr="Group Box 5">
          <a:extLst>
            <a:ext uri="{FF2B5EF4-FFF2-40B4-BE49-F238E27FC236}">
              <a16:creationId xmlns:a16="http://schemas.microsoft.com/office/drawing/2014/main" id="{00000000-0008-0000-3200-00000C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227</xdr:row>
      <xdr:rowOff>28440</xdr:rowOff>
    </xdr:from>
    <xdr:to>
      <xdr:col>7</xdr:col>
      <xdr:colOff>-363960</xdr:colOff>
      <xdr:row>228</xdr:row>
      <xdr:rowOff>0</xdr:rowOff>
    </xdr:to>
    <xdr:sp macro="" textlink="">
      <xdr:nvSpPr>
        <xdr:cNvPr id="1037" name="Option Button 1036">
          <a:extLst>
            <a:ext uri="{FF2B5EF4-FFF2-40B4-BE49-F238E27FC236}">
              <a16:creationId xmlns:a16="http://schemas.microsoft.com/office/drawing/2014/main" id="{00000000-0008-0000-3200-00000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8" name="Option Button 1037">
          <a:extLst>
            <a:ext uri="{FF2B5EF4-FFF2-40B4-BE49-F238E27FC236}">
              <a16:creationId xmlns:a16="http://schemas.microsoft.com/office/drawing/2014/main" id="{00000000-0008-0000-3200-00000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9" name="Option Button 1038">
          <a:extLst>
            <a:ext uri="{FF2B5EF4-FFF2-40B4-BE49-F238E27FC236}">
              <a16:creationId xmlns:a16="http://schemas.microsoft.com/office/drawing/2014/main" id="{00000000-0008-0000-3200-00000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0" name="Option Button 1039">
          <a:extLst>
            <a:ext uri="{FF2B5EF4-FFF2-40B4-BE49-F238E27FC236}">
              <a16:creationId xmlns:a16="http://schemas.microsoft.com/office/drawing/2014/main" id="{00000000-0008-0000-3200-00001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1" name="Group Box 1040" descr="Group Box 5">
          <a:extLst>
            <a:ext uri="{FF2B5EF4-FFF2-40B4-BE49-F238E27FC236}">
              <a16:creationId xmlns:a16="http://schemas.microsoft.com/office/drawing/2014/main" id="{00000000-0008-0000-3200-000011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228</xdr:row>
      <xdr:rowOff>28440</xdr:rowOff>
    </xdr:from>
    <xdr:to>
      <xdr:col>7</xdr:col>
      <xdr:colOff>-363960</xdr:colOff>
      <xdr:row>229</xdr:row>
      <xdr:rowOff>0</xdr:rowOff>
    </xdr:to>
    <xdr:sp macro="" textlink="">
      <xdr:nvSpPr>
        <xdr:cNvPr id="1042" name="Option Button 1041">
          <a:extLst>
            <a:ext uri="{FF2B5EF4-FFF2-40B4-BE49-F238E27FC236}">
              <a16:creationId xmlns:a16="http://schemas.microsoft.com/office/drawing/2014/main" id="{00000000-0008-0000-3200-00001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3" name="Option Button 1042">
          <a:extLst>
            <a:ext uri="{FF2B5EF4-FFF2-40B4-BE49-F238E27FC236}">
              <a16:creationId xmlns:a16="http://schemas.microsoft.com/office/drawing/2014/main" id="{00000000-0008-0000-3200-00001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4" name="Option Button 1043">
          <a:extLst>
            <a:ext uri="{FF2B5EF4-FFF2-40B4-BE49-F238E27FC236}">
              <a16:creationId xmlns:a16="http://schemas.microsoft.com/office/drawing/2014/main" id="{00000000-0008-0000-3200-00001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5" name="Option Button 1044">
          <a:extLst>
            <a:ext uri="{FF2B5EF4-FFF2-40B4-BE49-F238E27FC236}">
              <a16:creationId xmlns:a16="http://schemas.microsoft.com/office/drawing/2014/main" id="{00000000-0008-0000-3200-00001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6" name="Group Box 1045" descr="Group Box 5">
          <a:extLst>
            <a:ext uri="{FF2B5EF4-FFF2-40B4-BE49-F238E27FC236}">
              <a16:creationId xmlns:a16="http://schemas.microsoft.com/office/drawing/2014/main" id="{00000000-0008-0000-3200-000016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229</xdr:row>
      <xdr:rowOff>28440</xdr:rowOff>
    </xdr:from>
    <xdr:to>
      <xdr:col>7</xdr:col>
      <xdr:colOff>-363960</xdr:colOff>
      <xdr:row>230</xdr:row>
      <xdr:rowOff>0</xdr:rowOff>
    </xdr:to>
    <xdr:sp macro="" textlink="">
      <xdr:nvSpPr>
        <xdr:cNvPr id="1047" name="Option Button 1046">
          <a:extLst>
            <a:ext uri="{FF2B5EF4-FFF2-40B4-BE49-F238E27FC236}">
              <a16:creationId xmlns:a16="http://schemas.microsoft.com/office/drawing/2014/main" id="{00000000-0008-0000-3200-00001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8" name="Option Button 1047">
          <a:extLst>
            <a:ext uri="{FF2B5EF4-FFF2-40B4-BE49-F238E27FC236}">
              <a16:creationId xmlns:a16="http://schemas.microsoft.com/office/drawing/2014/main" id="{00000000-0008-0000-3200-00001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9" name="Option Button 1048">
          <a:extLst>
            <a:ext uri="{FF2B5EF4-FFF2-40B4-BE49-F238E27FC236}">
              <a16:creationId xmlns:a16="http://schemas.microsoft.com/office/drawing/2014/main" id="{00000000-0008-0000-3200-00001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0" name="Option Button 1049">
          <a:extLst>
            <a:ext uri="{FF2B5EF4-FFF2-40B4-BE49-F238E27FC236}">
              <a16:creationId xmlns:a16="http://schemas.microsoft.com/office/drawing/2014/main" id="{00000000-0008-0000-3200-00001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1" name="Group Box 1050" descr="Group Box 5">
          <a:extLst>
            <a:ext uri="{FF2B5EF4-FFF2-40B4-BE49-F238E27FC236}">
              <a16:creationId xmlns:a16="http://schemas.microsoft.com/office/drawing/2014/main" id="{00000000-0008-0000-3200-00001B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230</xdr:row>
      <xdr:rowOff>28440</xdr:rowOff>
    </xdr:from>
    <xdr:to>
      <xdr:col>7</xdr:col>
      <xdr:colOff>-363960</xdr:colOff>
      <xdr:row>231</xdr:row>
      <xdr:rowOff>0</xdr:rowOff>
    </xdr:to>
    <xdr:sp macro="" textlink="">
      <xdr:nvSpPr>
        <xdr:cNvPr id="1052" name="Option Button 1051">
          <a:extLst>
            <a:ext uri="{FF2B5EF4-FFF2-40B4-BE49-F238E27FC236}">
              <a16:creationId xmlns:a16="http://schemas.microsoft.com/office/drawing/2014/main" id="{00000000-0008-0000-3200-00001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3" name="Option Button 1052">
          <a:extLst>
            <a:ext uri="{FF2B5EF4-FFF2-40B4-BE49-F238E27FC236}">
              <a16:creationId xmlns:a16="http://schemas.microsoft.com/office/drawing/2014/main" id="{00000000-0008-0000-3200-00001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4" name="Option Button 1053">
          <a:extLst>
            <a:ext uri="{FF2B5EF4-FFF2-40B4-BE49-F238E27FC236}">
              <a16:creationId xmlns:a16="http://schemas.microsoft.com/office/drawing/2014/main" id="{00000000-0008-0000-3200-00001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5" name="Option Button 1054">
          <a:extLst>
            <a:ext uri="{FF2B5EF4-FFF2-40B4-BE49-F238E27FC236}">
              <a16:creationId xmlns:a16="http://schemas.microsoft.com/office/drawing/2014/main" id="{00000000-0008-0000-3200-00001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6" name="Group Box 1055" descr="Group Box 5">
          <a:extLst>
            <a:ext uri="{FF2B5EF4-FFF2-40B4-BE49-F238E27FC236}">
              <a16:creationId xmlns:a16="http://schemas.microsoft.com/office/drawing/2014/main" id="{00000000-0008-0000-3200-000020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231</xdr:row>
      <xdr:rowOff>28440</xdr:rowOff>
    </xdr:from>
    <xdr:to>
      <xdr:col>7</xdr:col>
      <xdr:colOff>-363960</xdr:colOff>
      <xdr:row>232</xdr:row>
      <xdr:rowOff>0</xdr:rowOff>
    </xdr:to>
    <xdr:sp macro="" textlink="">
      <xdr:nvSpPr>
        <xdr:cNvPr id="1057" name="Option Button 1056">
          <a:extLst>
            <a:ext uri="{FF2B5EF4-FFF2-40B4-BE49-F238E27FC236}">
              <a16:creationId xmlns:a16="http://schemas.microsoft.com/office/drawing/2014/main" id="{00000000-0008-0000-3200-00002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8" name="Option Button 1057">
          <a:extLst>
            <a:ext uri="{FF2B5EF4-FFF2-40B4-BE49-F238E27FC236}">
              <a16:creationId xmlns:a16="http://schemas.microsoft.com/office/drawing/2014/main" id="{00000000-0008-0000-3200-00002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9" name="Option Button 1058">
          <a:extLst>
            <a:ext uri="{FF2B5EF4-FFF2-40B4-BE49-F238E27FC236}">
              <a16:creationId xmlns:a16="http://schemas.microsoft.com/office/drawing/2014/main" id="{00000000-0008-0000-3200-00002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0" name="Option Button 1059">
          <a:extLst>
            <a:ext uri="{FF2B5EF4-FFF2-40B4-BE49-F238E27FC236}">
              <a16:creationId xmlns:a16="http://schemas.microsoft.com/office/drawing/2014/main" id="{00000000-0008-0000-3200-00002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1" name="Group Box 1060" descr="Group Box 5">
          <a:extLst>
            <a:ext uri="{FF2B5EF4-FFF2-40B4-BE49-F238E27FC236}">
              <a16:creationId xmlns:a16="http://schemas.microsoft.com/office/drawing/2014/main" id="{00000000-0008-0000-3200-000025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232</xdr:row>
      <xdr:rowOff>28440</xdr:rowOff>
    </xdr:from>
    <xdr:to>
      <xdr:col>7</xdr:col>
      <xdr:colOff>-363960</xdr:colOff>
      <xdr:row>233</xdr:row>
      <xdr:rowOff>0</xdr:rowOff>
    </xdr:to>
    <xdr:sp macro="" textlink="">
      <xdr:nvSpPr>
        <xdr:cNvPr id="1062" name="Option Button 1061">
          <a:extLst>
            <a:ext uri="{FF2B5EF4-FFF2-40B4-BE49-F238E27FC236}">
              <a16:creationId xmlns:a16="http://schemas.microsoft.com/office/drawing/2014/main" id="{00000000-0008-0000-3200-00002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3" name="Option Button 1062">
          <a:extLst>
            <a:ext uri="{FF2B5EF4-FFF2-40B4-BE49-F238E27FC236}">
              <a16:creationId xmlns:a16="http://schemas.microsoft.com/office/drawing/2014/main" id="{00000000-0008-0000-3200-00002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4" name="Option Button 1063">
          <a:extLst>
            <a:ext uri="{FF2B5EF4-FFF2-40B4-BE49-F238E27FC236}">
              <a16:creationId xmlns:a16="http://schemas.microsoft.com/office/drawing/2014/main" id="{00000000-0008-0000-3200-00002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5" name="Option Button 1064">
          <a:extLst>
            <a:ext uri="{FF2B5EF4-FFF2-40B4-BE49-F238E27FC236}">
              <a16:creationId xmlns:a16="http://schemas.microsoft.com/office/drawing/2014/main" id="{00000000-0008-0000-3200-00002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6" name="Group Box 1065" descr="Group Box 5">
          <a:extLst>
            <a:ext uri="{FF2B5EF4-FFF2-40B4-BE49-F238E27FC236}">
              <a16:creationId xmlns:a16="http://schemas.microsoft.com/office/drawing/2014/main" id="{00000000-0008-0000-3200-00002A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233</xdr:row>
      <xdr:rowOff>28440</xdr:rowOff>
    </xdr:from>
    <xdr:to>
      <xdr:col>7</xdr:col>
      <xdr:colOff>-363960</xdr:colOff>
      <xdr:row>234</xdr:row>
      <xdr:rowOff>0</xdr:rowOff>
    </xdr:to>
    <xdr:sp macro="" textlink="">
      <xdr:nvSpPr>
        <xdr:cNvPr id="1067" name="Option Button 1066">
          <a:extLst>
            <a:ext uri="{FF2B5EF4-FFF2-40B4-BE49-F238E27FC236}">
              <a16:creationId xmlns:a16="http://schemas.microsoft.com/office/drawing/2014/main" id="{00000000-0008-0000-3200-00002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8" name="Option Button 1067">
          <a:extLst>
            <a:ext uri="{FF2B5EF4-FFF2-40B4-BE49-F238E27FC236}">
              <a16:creationId xmlns:a16="http://schemas.microsoft.com/office/drawing/2014/main" id="{00000000-0008-0000-3200-00002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9" name="Option Button 1068">
          <a:extLst>
            <a:ext uri="{FF2B5EF4-FFF2-40B4-BE49-F238E27FC236}">
              <a16:creationId xmlns:a16="http://schemas.microsoft.com/office/drawing/2014/main" id="{00000000-0008-0000-3200-00002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0" name="Option Button 1069">
          <a:extLst>
            <a:ext uri="{FF2B5EF4-FFF2-40B4-BE49-F238E27FC236}">
              <a16:creationId xmlns:a16="http://schemas.microsoft.com/office/drawing/2014/main" id="{00000000-0008-0000-3200-00002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1" name="Group Box 1070" descr="Group Box 5">
          <a:extLst>
            <a:ext uri="{FF2B5EF4-FFF2-40B4-BE49-F238E27FC236}">
              <a16:creationId xmlns:a16="http://schemas.microsoft.com/office/drawing/2014/main" id="{00000000-0008-0000-3200-00002F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234</xdr:row>
      <xdr:rowOff>28440</xdr:rowOff>
    </xdr:from>
    <xdr:to>
      <xdr:col>7</xdr:col>
      <xdr:colOff>-363960</xdr:colOff>
      <xdr:row>235</xdr:row>
      <xdr:rowOff>0</xdr:rowOff>
    </xdr:to>
    <xdr:sp macro="" textlink="">
      <xdr:nvSpPr>
        <xdr:cNvPr id="1072" name="Option Button 1071">
          <a:extLst>
            <a:ext uri="{FF2B5EF4-FFF2-40B4-BE49-F238E27FC236}">
              <a16:creationId xmlns:a16="http://schemas.microsoft.com/office/drawing/2014/main" id="{00000000-0008-0000-3200-00003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3" name="Option Button 1072">
          <a:extLst>
            <a:ext uri="{FF2B5EF4-FFF2-40B4-BE49-F238E27FC236}">
              <a16:creationId xmlns:a16="http://schemas.microsoft.com/office/drawing/2014/main" id="{00000000-0008-0000-3200-00003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4" name="Option Button 1073">
          <a:extLst>
            <a:ext uri="{FF2B5EF4-FFF2-40B4-BE49-F238E27FC236}">
              <a16:creationId xmlns:a16="http://schemas.microsoft.com/office/drawing/2014/main" id="{00000000-0008-0000-3200-00003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5" name="Option Button 1074">
          <a:extLst>
            <a:ext uri="{FF2B5EF4-FFF2-40B4-BE49-F238E27FC236}">
              <a16:creationId xmlns:a16="http://schemas.microsoft.com/office/drawing/2014/main" id="{00000000-0008-0000-3200-00003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6" name="Group Box 1075" descr="Group Box 5">
          <a:extLst>
            <a:ext uri="{FF2B5EF4-FFF2-40B4-BE49-F238E27FC236}">
              <a16:creationId xmlns:a16="http://schemas.microsoft.com/office/drawing/2014/main" id="{00000000-0008-0000-3200-000034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235</xdr:row>
      <xdr:rowOff>28440</xdr:rowOff>
    </xdr:from>
    <xdr:to>
      <xdr:col>7</xdr:col>
      <xdr:colOff>-363960</xdr:colOff>
      <xdr:row>236</xdr:row>
      <xdr:rowOff>0</xdr:rowOff>
    </xdr:to>
    <xdr:sp macro="" textlink="">
      <xdr:nvSpPr>
        <xdr:cNvPr id="1077" name="Option Button 1076">
          <a:extLst>
            <a:ext uri="{FF2B5EF4-FFF2-40B4-BE49-F238E27FC236}">
              <a16:creationId xmlns:a16="http://schemas.microsoft.com/office/drawing/2014/main" id="{00000000-0008-0000-3200-00003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8" name="Option Button 1077">
          <a:extLst>
            <a:ext uri="{FF2B5EF4-FFF2-40B4-BE49-F238E27FC236}">
              <a16:creationId xmlns:a16="http://schemas.microsoft.com/office/drawing/2014/main" id="{00000000-0008-0000-3200-00003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9" name="Option Button 1078">
          <a:extLst>
            <a:ext uri="{FF2B5EF4-FFF2-40B4-BE49-F238E27FC236}">
              <a16:creationId xmlns:a16="http://schemas.microsoft.com/office/drawing/2014/main" id="{00000000-0008-0000-3200-00003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0" name="Option Button 1079">
          <a:extLst>
            <a:ext uri="{FF2B5EF4-FFF2-40B4-BE49-F238E27FC236}">
              <a16:creationId xmlns:a16="http://schemas.microsoft.com/office/drawing/2014/main" id="{00000000-0008-0000-3200-00003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1" name="Group Box 1080" descr="Group Box 5">
          <a:extLst>
            <a:ext uri="{FF2B5EF4-FFF2-40B4-BE49-F238E27FC236}">
              <a16:creationId xmlns:a16="http://schemas.microsoft.com/office/drawing/2014/main" id="{00000000-0008-0000-3200-000039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236</xdr:row>
      <xdr:rowOff>28440</xdr:rowOff>
    </xdr:from>
    <xdr:to>
      <xdr:col>7</xdr:col>
      <xdr:colOff>-363960</xdr:colOff>
      <xdr:row>237</xdr:row>
      <xdr:rowOff>0</xdr:rowOff>
    </xdr:to>
    <xdr:sp macro="" textlink="">
      <xdr:nvSpPr>
        <xdr:cNvPr id="1082" name="Option Button 1081">
          <a:extLst>
            <a:ext uri="{FF2B5EF4-FFF2-40B4-BE49-F238E27FC236}">
              <a16:creationId xmlns:a16="http://schemas.microsoft.com/office/drawing/2014/main" id="{00000000-0008-0000-3200-00003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3" name="Option Button 1082">
          <a:extLst>
            <a:ext uri="{FF2B5EF4-FFF2-40B4-BE49-F238E27FC236}">
              <a16:creationId xmlns:a16="http://schemas.microsoft.com/office/drawing/2014/main" id="{00000000-0008-0000-3200-00003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4" name="Option Button 1083">
          <a:extLst>
            <a:ext uri="{FF2B5EF4-FFF2-40B4-BE49-F238E27FC236}">
              <a16:creationId xmlns:a16="http://schemas.microsoft.com/office/drawing/2014/main" id="{00000000-0008-0000-3200-00003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5" name="Option Button 1084">
          <a:extLst>
            <a:ext uri="{FF2B5EF4-FFF2-40B4-BE49-F238E27FC236}">
              <a16:creationId xmlns:a16="http://schemas.microsoft.com/office/drawing/2014/main" id="{00000000-0008-0000-3200-00003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6" name="Group Box 1085" descr="Group Box 5">
          <a:extLst>
            <a:ext uri="{FF2B5EF4-FFF2-40B4-BE49-F238E27FC236}">
              <a16:creationId xmlns:a16="http://schemas.microsoft.com/office/drawing/2014/main" id="{00000000-0008-0000-3200-00003E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237</xdr:row>
      <xdr:rowOff>28440</xdr:rowOff>
    </xdr:from>
    <xdr:to>
      <xdr:col>7</xdr:col>
      <xdr:colOff>-363960</xdr:colOff>
      <xdr:row>238</xdr:row>
      <xdr:rowOff>0</xdr:rowOff>
    </xdr:to>
    <xdr:sp macro="" textlink="">
      <xdr:nvSpPr>
        <xdr:cNvPr id="1087" name="Option Button 1086">
          <a:extLst>
            <a:ext uri="{FF2B5EF4-FFF2-40B4-BE49-F238E27FC236}">
              <a16:creationId xmlns:a16="http://schemas.microsoft.com/office/drawing/2014/main" id="{00000000-0008-0000-3200-00003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8" name="Option Button 1087">
          <a:extLst>
            <a:ext uri="{FF2B5EF4-FFF2-40B4-BE49-F238E27FC236}">
              <a16:creationId xmlns:a16="http://schemas.microsoft.com/office/drawing/2014/main" id="{00000000-0008-0000-3200-00004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9" name="Option Button 1088">
          <a:extLst>
            <a:ext uri="{FF2B5EF4-FFF2-40B4-BE49-F238E27FC236}">
              <a16:creationId xmlns:a16="http://schemas.microsoft.com/office/drawing/2014/main" id="{00000000-0008-0000-3200-00004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0" name="Option Button 1089">
          <a:extLst>
            <a:ext uri="{FF2B5EF4-FFF2-40B4-BE49-F238E27FC236}">
              <a16:creationId xmlns:a16="http://schemas.microsoft.com/office/drawing/2014/main" id="{00000000-0008-0000-3200-00004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1" name="Group Box 1090" descr="Group Box 5">
          <a:extLst>
            <a:ext uri="{FF2B5EF4-FFF2-40B4-BE49-F238E27FC236}">
              <a16:creationId xmlns:a16="http://schemas.microsoft.com/office/drawing/2014/main" id="{00000000-0008-0000-3200-000043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238</xdr:row>
      <xdr:rowOff>28440</xdr:rowOff>
    </xdr:from>
    <xdr:to>
      <xdr:col>7</xdr:col>
      <xdr:colOff>-363960</xdr:colOff>
      <xdr:row>239</xdr:row>
      <xdr:rowOff>0</xdr:rowOff>
    </xdr:to>
    <xdr:sp macro="" textlink="">
      <xdr:nvSpPr>
        <xdr:cNvPr id="1092" name="Option Button 1091">
          <a:extLst>
            <a:ext uri="{FF2B5EF4-FFF2-40B4-BE49-F238E27FC236}">
              <a16:creationId xmlns:a16="http://schemas.microsoft.com/office/drawing/2014/main" id="{00000000-0008-0000-3200-00004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3" name="Option Button 1092">
          <a:extLst>
            <a:ext uri="{FF2B5EF4-FFF2-40B4-BE49-F238E27FC236}">
              <a16:creationId xmlns:a16="http://schemas.microsoft.com/office/drawing/2014/main" id="{00000000-0008-0000-3200-00004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4" name="Option Button 1093">
          <a:extLst>
            <a:ext uri="{FF2B5EF4-FFF2-40B4-BE49-F238E27FC236}">
              <a16:creationId xmlns:a16="http://schemas.microsoft.com/office/drawing/2014/main" id="{00000000-0008-0000-3200-00004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5" name="Option Button 1094">
          <a:extLst>
            <a:ext uri="{FF2B5EF4-FFF2-40B4-BE49-F238E27FC236}">
              <a16:creationId xmlns:a16="http://schemas.microsoft.com/office/drawing/2014/main" id="{00000000-0008-0000-3200-00004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6" name="Group Box 1095" descr="Group Box 5">
          <a:extLst>
            <a:ext uri="{FF2B5EF4-FFF2-40B4-BE49-F238E27FC236}">
              <a16:creationId xmlns:a16="http://schemas.microsoft.com/office/drawing/2014/main" id="{00000000-0008-0000-3200-000048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239</xdr:row>
      <xdr:rowOff>28440</xdr:rowOff>
    </xdr:from>
    <xdr:to>
      <xdr:col>7</xdr:col>
      <xdr:colOff>-363960</xdr:colOff>
      <xdr:row>240</xdr:row>
      <xdr:rowOff>0</xdr:rowOff>
    </xdr:to>
    <xdr:sp macro="" textlink="">
      <xdr:nvSpPr>
        <xdr:cNvPr id="1097" name="Option Button 1096">
          <a:extLst>
            <a:ext uri="{FF2B5EF4-FFF2-40B4-BE49-F238E27FC236}">
              <a16:creationId xmlns:a16="http://schemas.microsoft.com/office/drawing/2014/main" id="{00000000-0008-0000-3200-00004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8" name="Option Button 1097">
          <a:extLst>
            <a:ext uri="{FF2B5EF4-FFF2-40B4-BE49-F238E27FC236}">
              <a16:creationId xmlns:a16="http://schemas.microsoft.com/office/drawing/2014/main" id="{00000000-0008-0000-3200-00004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9" name="Option Button 1098">
          <a:extLst>
            <a:ext uri="{FF2B5EF4-FFF2-40B4-BE49-F238E27FC236}">
              <a16:creationId xmlns:a16="http://schemas.microsoft.com/office/drawing/2014/main" id="{00000000-0008-0000-3200-00004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0" name="Option Button 1099">
          <a:extLst>
            <a:ext uri="{FF2B5EF4-FFF2-40B4-BE49-F238E27FC236}">
              <a16:creationId xmlns:a16="http://schemas.microsoft.com/office/drawing/2014/main" id="{00000000-0008-0000-3200-00004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1" name="Group Box 1100" descr="Group Box 5">
          <a:extLst>
            <a:ext uri="{FF2B5EF4-FFF2-40B4-BE49-F238E27FC236}">
              <a16:creationId xmlns:a16="http://schemas.microsoft.com/office/drawing/2014/main" id="{00000000-0008-0000-3200-00004D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240</xdr:row>
      <xdr:rowOff>28440</xdr:rowOff>
    </xdr:from>
    <xdr:to>
      <xdr:col>7</xdr:col>
      <xdr:colOff>-363960</xdr:colOff>
      <xdr:row>241</xdr:row>
      <xdr:rowOff>0</xdr:rowOff>
    </xdr:to>
    <xdr:sp macro="" textlink="">
      <xdr:nvSpPr>
        <xdr:cNvPr id="1102" name="Option Button 1101">
          <a:extLst>
            <a:ext uri="{FF2B5EF4-FFF2-40B4-BE49-F238E27FC236}">
              <a16:creationId xmlns:a16="http://schemas.microsoft.com/office/drawing/2014/main" id="{00000000-0008-0000-3200-00004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3" name="Option Button 1102">
          <a:extLst>
            <a:ext uri="{FF2B5EF4-FFF2-40B4-BE49-F238E27FC236}">
              <a16:creationId xmlns:a16="http://schemas.microsoft.com/office/drawing/2014/main" id="{00000000-0008-0000-3200-00004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4" name="Option Button 1103">
          <a:extLst>
            <a:ext uri="{FF2B5EF4-FFF2-40B4-BE49-F238E27FC236}">
              <a16:creationId xmlns:a16="http://schemas.microsoft.com/office/drawing/2014/main" id="{00000000-0008-0000-3200-00005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5" name="Option Button 1104">
          <a:extLst>
            <a:ext uri="{FF2B5EF4-FFF2-40B4-BE49-F238E27FC236}">
              <a16:creationId xmlns:a16="http://schemas.microsoft.com/office/drawing/2014/main" id="{00000000-0008-0000-3200-00005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6" name="Group Box 1105" descr="Group Box 5">
          <a:extLst>
            <a:ext uri="{FF2B5EF4-FFF2-40B4-BE49-F238E27FC236}">
              <a16:creationId xmlns:a16="http://schemas.microsoft.com/office/drawing/2014/main" id="{00000000-0008-0000-3200-000052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241</xdr:row>
      <xdr:rowOff>28440</xdr:rowOff>
    </xdr:from>
    <xdr:to>
      <xdr:col>7</xdr:col>
      <xdr:colOff>-363960</xdr:colOff>
      <xdr:row>242</xdr:row>
      <xdr:rowOff>0</xdr:rowOff>
    </xdr:to>
    <xdr:sp macro="" textlink="">
      <xdr:nvSpPr>
        <xdr:cNvPr id="1107" name="Option Button 1106">
          <a:extLst>
            <a:ext uri="{FF2B5EF4-FFF2-40B4-BE49-F238E27FC236}">
              <a16:creationId xmlns:a16="http://schemas.microsoft.com/office/drawing/2014/main" id="{00000000-0008-0000-3200-00005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8" name="Option Button 1107">
          <a:extLst>
            <a:ext uri="{FF2B5EF4-FFF2-40B4-BE49-F238E27FC236}">
              <a16:creationId xmlns:a16="http://schemas.microsoft.com/office/drawing/2014/main" id="{00000000-0008-0000-3200-00005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9" name="Option Button 1108">
          <a:extLst>
            <a:ext uri="{FF2B5EF4-FFF2-40B4-BE49-F238E27FC236}">
              <a16:creationId xmlns:a16="http://schemas.microsoft.com/office/drawing/2014/main" id="{00000000-0008-0000-3200-00005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0" name="Option Button 1109">
          <a:extLst>
            <a:ext uri="{FF2B5EF4-FFF2-40B4-BE49-F238E27FC236}">
              <a16:creationId xmlns:a16="http://schemas.microsoft.com/office/drawing/2014/main" id="{00000000-0008-0000-3200-00005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1" name="Group Box 1110" descr="Group Box 5">
          <a:extLst>
            <a:ext uri="{FF2B5EF4-FFF2-40B4-BE49-F238E27FC236}">
              <a16:creationId xmlns:a16="http://schemas.microsoft.com/office/drawing/2014/main" id="{00000000-0008-0000-3200-000057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242</xdr:row>
      <xdr:rowOff>28440</xdr:rowOff>
    </xdr:from>
    <xdr:to>
      <xdr:col>7</xdr:col>
      <xdr:colOff>-363960</xdr:colOff>
      <xdr:row>243</xdr:row>
      <xdr:rowOff>0</xdr:rowOff>
    </xdr:to>
    <xdr:sp macro="" textlink="">
      <xdr:nvSpPr>
        <xdr:cNvPr id="1112" name="Option Button 1111">
          <a:extLst>
            <a:ext uri="{FF2B5EF4-FFF2-40B4-BE49-F238E27FC236}">
              <a16:creationId xmlns:a16="http://schemas.microsoft.com/office/drawing/2014/main" id="{00000000-0008-0000-3200-00005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3" name="Option Button 1112">
          <a:extLst>
            <a:ext uri="{FF2B5EF4-FFF2-40B4-BE49-F238E27FC236}">
              <a16:creationId xmlns:a16="http://schemas.microsoft.com/office/drawing/2014/main" id="{00000000-0008-0000-3200-00005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4" name="Option Button 1113">
          <a:extLst>
            <a:ext uri="{FF2B5EF4-FFF2-40B4-BE49-F238E27FC236}">
              <a16:creationId xmlns:a16="http://schemas.microsoft.com/office/drawing/2014/main" id="{00000000-0008-0000-3200-00005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5" name="Option Button 1114">
          <a:extLst>
            <a:ext uri="{FF2B5EF4-FFF2-40B4-BE49-F238E27FC236}">
              <a16:creationId xmlns:a16="http://schemas.microsoft.com/office/drawing/2014/main" id="{00000000-0008-0000-3200-00005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6" name="Group Box 1115" descr="Group Box 5">
          <a:extLst>
            <a:ext uri="{FF2B5EF4-FFF2-40B4-BE49-F238E27FC236}">
              <a16:creationId xmlns:a16="http://schemas.microsoft.com/office/drawing/2014/main" id="{00000000-0008-0000-3200-00005C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243</xdr:row>
      <xdr:rowOff>28440</xdr:rowOff>
    </xdr:from>
    <xdr:to>
      <xdr:col>7</xdr:col>
      <xdr:colOff>-363960</xdr:colOff>
      <xdr:row>244</xdr:row>
      <xdr:rowOff>0</xdr:rowOff>
    </xdr:to>
    <xdr:sp macro="" textlink="">
      <xdr:nvSpPr>
        <xdr:cNvPr id="1117" name="Option Button 1116">
          <a:extLst>
            <a:ext uri="{FF2B5EF4-FFF2-40B4-BE49-F238E27FC236}">
              <a16:creationId xmlns:a16="http://schemas.microsoft.com/office/drawing/2014/main" id="{00000000-0008-0000-3200-00005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8" name="Option Button 1117">
          <a:extLst>
            <a:ext uri="{FF2B5EF4-FFF2-40B4-BE49-F238E27FC236}">
              <a16:creationId xmlns:a16="http://schemas.microsoft.com/office/drawing/2014/main" id="{00000000-0008-0000-3200-00005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9" name="Option Button 1118">
          <a:extLst>
            <a:ext uri="{FF2B5EF4-FFF2-40B4-BE49-F238E27FC236}">
              <a16:creationId xmlns:a16="http://schemas.microsoft.com/office/drawing/2014/main" id="{00000000-0008-0000-3200-00005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0" name="Option Button 1119">
          <a:extLst>
            <a:ext uri="{FF2B5EF4-FFF2-40B4-BE49-F238E27FC236}">
              <a16:creationId xmlns:a16="http://schemas.microsoft.com/office/drawing/2014/main" id="{00000000-0008-0000-3200-00006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1" name="Group Box 1120" descr="Group Box 5">
          <a:extLst>
            <a:ext uri="{FF2B5EF4-FFF2-40B4-BE49-F238E27FC236}">
              <a16:creationId xmlns:a16="http://schemas.microsoft.com/office/drawing/2014/main" id="{00000000-0008-0000-3200-000061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244</xdr:row>
      <xdr:rowOff>28440</xdr:rowOff>
    </xdr:from>
    <xdr:to>
      <xdr:col>7</xdr:col>
      <xdr:colOff>-363960</xdr:colOff>
      <xdr:row>245</xdr:row>
      <xdr:rowOff>0</xdr:rowOff>
    </xdr:to>
    <xdr:sp macro="" textlink="">
      <xdr:nvSpPr>
        <xdr:cNvPr id="1122" name="Option Button 1121">
          <a:extLst>
            <a:ext uri="{FF2B5EF4-FFF2-40B4-BE49-F238E27FC236}">
              <a16:creationId xmlns:a16="http://schemas.microsoft.com/office/drawing/2014/main" id="{00000000-0008-0000-3200-00006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3" name="Option Button 1122">
          <a:extLst>
            <a:ext uri="{FF2B5EF4-FFF2-40B4-BE49-F238E27FC236}">
              <a16:creationId xmlns:a16="http://schemas.microsoft.com/office/drawing/2014/main" id="{00000000-0008-0000-3200-00006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4" name="Option Button 1123">
          <a:extLst>
            <a:ext uri="{FF2B5EF4-FFF2-40B4-BE49-F238E27FC236}">
              <a16:creationId xmlns:a16="http://schemas.microsoft.com/office/drawing/2014/main" id="{00000000-0008-0000-3200-00006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5" name="Option Button 1124">
          <a:extLst>
            <a:ext uri="{FF2B5EF4-FFF2-40B4-BE49-F238E27FC236}">
              <a16:creationId xmlns:a16="http://schemas.microsoft.com/office/drawing/2014/main" id="{00000000-0008-0000-3200-00006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6" name="Group Box 1125" descr="Group Box 5">
          <a:extLst>
            <a:ext uri="{FF2B5EF4-FFF2-40B4-BE49-F238E27FC236}">
              <a16:creationId xmlns:a16="http://schemas.microsoft.com/office/drawing/2014/main" id="{00000000-0008-0000-3200-000066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245</xdr:row>
      <xdr:rowOff>28440</xdr:rowOff>
    </xdr:from>
    <xdr:to>
      <xdr:col>7</xdr:col>
      <xdr:colOff>-363960</xdr:colOff>
      <xdr:row>246</xdr:row>
      <xdr:rowOff>0</xdr:rowOff>
    </xdr:to>
    <xdr:sp macro="" textlink="">
      <xdr:nvSpPr>
        <xdr:cNvPr id="1127" name="Option Button 1126">
          <a:extLst>
            <a:ext uri="{FF2B5EF4-FFF2-40B4-BE49-F238E27FC236}">
              <a16:creationId xmlns:a16="http://schemas.microsoft.com/office/drawing/2014/main" id="{00000000-0008-0000-3200-00006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8" name="Option Button 1127">
          <a:extLst>
            <a:ext uri="{FF2B5EF4-FFF2-40B4-BE49-F238E27FC236}">
              <a16:creationId xmlns:a16="http://schemas.microsoft.com/office/drawing/2014/main" id="{00000000-0008-0000-3200-00006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9" name="Option Button 1128">
          <a:extLst>
            <a:ext uri="{FF2B5EF4-FFF2-40B4-BE49-F238E27FC236}">
              <a16:creationId xmlns:a16="http://schemas.microsoft.com/office/drawing/2014/main" id="{00000000-0008-0000-3200-00006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0" name="Option Button 1129">
          <a:extLst>
            <a:ext uri="{FF2B5EF4-FFF2-40B4-BE49-F238E27FC236}">
              <a16:creationId xmlns:a16="http://schemas.microsoft.com/office/drawing/2014/main" id="{00000000-0008-0000-3200-00006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1" name="Group Box 1130" descr="Group Box 5">
          <a:extLst>
            <a:ext uri="{FF2B5EF4-FFF2-40B4-BE49-F238E27FC236}">
              <a16:creationId xmlns:a16="http://schemas.microsoft.com/office/drawing/2014/main" id="{00000000-0008-0000-3200-00006B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246</xdr:row>
      <xdr:rowOff>28440</xdr:rowOff>
    </xdr:from>
    <xdr:to>
      <xdr:col>7</xdr:col>
      <xdr:colOff>-363960</xdr:colOff>
      <xdr:row>247</xdr:row>
      <xdr:rowOff>0</xdr:rowOff>
    </xdr:to>
    <xdr:sp macro="" textlink="">
      <xdr:nvSpPr>
        <xdr:cNvPr id="1132" name="Option Button 1131">
          <a:extLst>
            <a:ext uri="{FF2B5EF4-FFF2-40B4-BE49-F238E27FC236}">
              <a16:creationId xmlns:a16="http://schemas.microsoft.com/office/drawing/2014/main" id="{00000000-0008-0000-3200-00006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3" name="Option Button 1132">
          <a:extLst>
            <a:ext uri="{FF2B5EF4-FFF2-40B4-BE49-F238E27FC236}">
              <a16:creationId xmlns:a16="http://schemas.microsoft.com/office/drawing/2014/main" id="{00000000-0008-0000-3200-00006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4" name="Option Button 1133">
          <a:extLst>
            <a:ext uri="{FF2B5EF4-FFF2-40B4-BE49-F238E27FC236}">
              <a16:creationId xmlns:a16="http://schemas.microsoft.com/office/drawing/2014/main" id="{00000000-0008-0000-3200-00006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5" name="Option Button 1134">
          <a:extLst>
            <a:ext uri="{FF2B5EF4-FFF2-40B4-BE49-F238E27FC236}">
              <a16:creationId xmlns:a16="http://schemas.microsoft.com/office/drawing/2014/main" id="{00000000-0008-0000-3200-00006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6" name="Group Box 1135" descr="Group Box 5">
          <a:extLst>
            <a:ext uri="{FF2B5EF4-FFF2-40B4-BE49-F238E27FC236}">
              <a16:creationId xmlns:a16="http://schemas.microsoft.com/office/drawing/2014/main" id="{00000000-0008-0000-3200-000070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247</xdr:row>
      <xdr:rowOff>28440</xdr:rowOff>
    </xdr:from>
    <xdr:to>
      <xdr:col>7</xdr:col>
      <xdr:colOff>-363960</xdr:colOff>
      <xdr:row>248</xdr:row>
      <xdr:rowOff>0</xdr:rowOff>
    </xdr:to>
    <xdr:sp macro="" textlink="">
      <xdr:nvSpPr>
        <xdr:cNvPr id="1137" name="Option Button 1136">
          <a:extLst>
            <a:ext uri="{FF2B5EF4-FFF2-40B4-BE49-F238E27FC236}">
              <a16:creationId xmlns:a16="http://schemas.microsoft.com/office/drawing/2014/main" id="{00000000-0008-0000-3200-00007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8" name="Option Button 1137">
          <a:extLst>
            <a:ext uri="{FF2B5EF4-FFF2-40B4-BE49-F238E27FC236}">
              <a16:creationId xmlns:a16="http://schemas.microsoft.com/office/drawing/2014/main" id="{00000000-0008-0000-3200-00007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9" name="Option Button 1138">
          <a:extLst>
            <a:ext uri="{FF2B5EF4-FFF2-40B4-BE49-F238E27FC236}">
              <a16:creationId xmlns:a16="http://schemas.microsoft.com/office/drawing/2014/main" id="{00000000-0008-0000-3200-00007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0" name="Option Button 1139">
          <a:extLst>
            <a:ext uri="{FF2B5EF4-FFF2-40B4-BE49-F238E27FC236}">
              <a16:creationId xmlns:a16="http://schemas.microsoft.com/office/drawing/2014/main" id="{00000000-0008-0000-3200-00007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1" name="Group Box 1140" descr="Group Box 5">
          <a:extLst>
            <a:ext uri="{FF2B5EF4-FFF2-40B4-BE49-F238E27FC236}">
              <a16:creationId xmlns:a16="http://schemas.microsoft.com/office/drawing/2014/main" id="{00000000-0008-0000-3200-000075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248</xdr:row>
      <xdr:rowOff>28440</xdr:rowOff>
    </xdr:from>
    <xdr:to>
      <xdr:col>7</xdr:col>
      <xdr:colOff>-363960</xdr:colOff>
      <xdr:row>249</xdr:row>
      <xdr:rowOff>0</xdr:rowOff>
    </xdr:to>
    <xdr:sp macro="" textlink="">
      <xdr:nvSpPr>
        <xdr:cNvPr id="1142" name="Option Button 1141">
          <a:extLst>
            <a:ext uri="{FF2B5EF4-FFF2-40B4-BE49-F238E27FC236}">
              <a16:creationId xmlns:a16="http://schemas.microsoft.com/office/drawing/2014/main" id="{00000000-0008-0000-3200-00007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3" name="Option Button 1142">
          <a:extLst>
            <a:ext uri="{FF2B5EF4-FFF2-40B4-BE49-F238E27FC236}">
              <a16:creationId xmlns:a16="http://schemas.microsoft.com/office/drawing/2014/main" id="{00000000-0008-0000-3200-00007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4" name="Option Button 1143">
          <a:extLst>
            <a:ext uri="{FF2B5EF4-FFF2-40B4-BE49-F238E27FC236}">
              <a16:creationId xmlns:a16="http://schemas.microsoft.com/office/drawing/2014/main" id="{00000000-0008-0000-3200-00007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5" name="Option Button 1144">
          <a:extLst>
            <a:ext uri="{FF2B5EF4-FFF2-40B4-BE49-F238E27FC236}">
              <a16:creationId xmlns:a16="http://schemas.microsoft.com/office/drawing/2014/main" id="{00000000-0008-0000-3200-00007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6" name="Group Box 1145" descr="Group Box 5">
          <a:extLst>
            <a:ext uri="{FF2B5EF4-FFF2-40B4-BE49-F238E27FC236}">
              <a16:creationId xmlns:a16="http://schemas.microsoft.com/office/drawing/2014/main" id="{00000000-0008-0000-3200-00007A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249</xdr:row>
      <xdr:rowOff>28440</xdr:rowOff>
    </xdr:from>
    <xdr:to>
      <xdr:col>7</xdr:col>
      <xdr:colOff>-363960</xdr:colOff>
      <xdr:row>250</xdr:row>
      <xdr:rowOff>0</xdr:rowOff>
    </xdr:to>
    <xdr:sp macro="" textlink="">
      <xdr:nvSpPr>
        <xdr:cNvPr id="1147" name="Option Button 1146">
          <a:extLst>
            <a:ext uri="{FF2B5EF4-FFF2-40B4-BE49-F238E27FC236}">
              <a16:creationId xmlns:a16="http://schemas.microsoft.com/office/drawing/2014/main" id="{00000000-0008-0000-3200-00007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8" name="Option Button 1147">
          <a:extLst>
            <a:ext uri="{FF2B5EF4-FFF2-40B4-BE49-F238E27FC236}">
              <a16:creationId xmlns:a16="http://schemas.microsoft.com/office/drawing/2014/main" id="{00000000-0008-0000-3200-00007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9" name="Option Button 1148">
          <a:extLst>
            <a:ext uri="{FF2B5EF4-FFF2-40B4-BE49-F238E27FC236}">
              <a16:creationId xmlns:a16="http://schemas.microsoft.com/office/drawing/2014/main" id="{00000000-0008-0000-3200-00007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0" name="Option Button 1149">
          <a:extLst>
            <a:ext uri="{FF2B5EF4-FFF2-40B4-BE49-F238E27FC236}">
              <a16:creationId xmlns:a16="http://schemas.microsoft.com/office/drawing/2014/main" id="{00000000-0008-0000-3200-00007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1" name="Group Box 1150" descr="Group Box 5">
          <a:extLst>
            <a:ext uri="{FF2B5EF4-FFF2-40B4-BE49-F238E27FC236}">
              <a16:creationId xmlns:a16="http://schemas.microsoft.com/office/drawing/2014/main" id="{00000000-0008-0000-3200-00007F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250</xdr:row>
      <xdr:rowOff>28440</xdr:rowOff>
    </xdr:from>
    <xdr:to>
      <xdr:col>7</xdr:col>
      <xdr:colOff>-363960</xdr:colOff>
      <xdr:row>251</xdr:row>
      <xdr:rowOff>0</xdr:rowOff>
    </xdr:to>
    <xdr:sp macro="" textlink="">
      <xdr:nvSpPr>
        <xdr:cNvPr id="1152" name="Option Button 1151">
          <a:extLst>
            <a:ext uri="{FF2B5EF4-FFF2-40B4-BE49-F238E27FC236}">
              <a16:creationId xmlns:a16="http://schemas.microsoft.com/office/drawing/2014/main" id="{00000000-0008-0000-3200-00008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3" name="Option Button 1152">
          <a:extLst>
            <a:ext uri="{FF2B5EF4-FFF2-40B4-BE49-F238E27FC236}">
              <a16:creationId xmlns:a16="http://schemas.microsoft.com/office/drawing/2014/main" id="{00000000-0008-0000-3200-00008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4" name="Option Button 1153">
          <a:extLst>
            <a:ext uri="{FF2B5EF4-FFF2-40B4-BE49-F238E27FC236}">
              <a16:creationId xmlns:a16="http://schemas.microsoft.com/office/drawing/2014/main" id="{00000000-0008-0000-3200-00008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5" name="Option Button 1154">
          <a:extLst>
            <a:ext uri="{FF2B5EF4-FFF2-40B4-BE49-F238E27FC236}">
              <a16:creationId xmlns:a16="http://schemas.microsoft.com/office/drawing/2014/main" id="{00000000-0008-0000-3200-00008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6" name="Group Box 1155" descr="Group Box 5">
          <a:extLst>
            <a:ext uri="{FF2B5EF4-FFF2-40B4-BE49-F238E27FC236}">
              <a16:creationId xmlns:a16="http://schemas.microsoft.com/office/drawing/2014/main" id="{00000000-0008-0000-3200-000084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251</xdr:row>
      <xdr:rowOff>28440</xdr:rowOff>
    </xdr:from>
    <xdr:to>
      <xdr:col>7</xdr:col>
      <xdr:colOff>-363960</xdr:colOff>
      <xdr:row>252</xdr:row>
      <xdr:rowOff>0</xdr:rowOff>
    </xdr:to>
    <xdr:sp macro="" textlink="">
      <xdr:nvSpPr>
        <xdr:cNvPr id="1157" name="Option Button 1156">
          <a:extLst>
            <a:ext uri="{FF2B5EF4-FFF2-40B4-BE49-F238E27FC236}">
              <a16:creationId xmlns:a16="http://schemas.microsoft.com/office/drawing/2014/main" id="{00000000-0008-0000-3200-00008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8" name="Option Button 1157">
          <a:extLst>
            <a:ext uri="{FF2B5EF4-FFF2-40B4-BE49-F238E27FC236}">
              <a16:creationId xmlns:a16="http://schemas.microsoft.com/office/drawing/2014/main" id="{00000000-0008-0000-3200-00008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9" name="Option Button 1158">
          <a:extLst>
            <a:ext uri="{FF2B5EF4-FFF2-40B4-BE49-F238E27FC236}">
              <a16:creationId xmlns:a16="http://schemas.microsoft.com/office/drawing/2014/main" id="{00000000-0008-0000-3200-00008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0" name="Option Button 1159">
          <a:extLst>
            <a:ext uri="{FF2B5EF4-FFF2-40B4-BE49-F238E27FC236}">
              <a16:creationId xmlns:a16="http://schemas.microsoft.com/office/drawing/2014/main" id="{00000000-0008-0000-3200-00008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1" name="Group Box 1160" descr="Group Box 5">
          <a:extLst>
            <a:ext uri="{FF2B5EF4-FFF2-40B4-BE49-F238E27FC236}">
              <a16:creationId xmlns:a16="http://schemas.microsoft.com/office/drawing/2014/main" id="{00000000-0008-0000-3200-000089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252</xdr:row>
      <xdr:rowOff>28440</xdr:rowOff>
    </xdr:from>
    <xdr:to>
      <xdr:col>7</xdr:col>
      <xdr:colOff>-363960</xdr:colOff>
      <xdr:row>253</xdr:row>
      <xdr:rowOff>0</xdr:rowOff>
    </xdr:to>
    <xdr:sp macro="" textlink="">
      <xdr:nvSpPr>
        <xdr:cNvPr id="1162" name="Option Button 1161">
          <a:extLst>
            <a:ext uri="{FF2B5EF4-FFF2-40B4-BE49-F238E27FC236}">
              <a16:creationId xmlns:a16="http://schemas.microsoft.com/office/drawing/2014/main" id="{00000000-0008-0000-3200-00008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3" name="Option Button 1162">
          <a:extLst>
            <a:ext uri="{FF2B5EF4-FFF2-40B4-BE49-F238E27FC236}">
              <a16:creationId xmlns:a16="http://schemas.microsoft.com/office/drawing/2014/main" id="{00000000-0008-0000-3200-00008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4" name="Option Button 1163">
          <a:extLst>
            <a:ext uri="{FF2B5EF4-FFF2-40B4-BE49-F238E27FC236}">
              <a16:creationId xmlns:a16="http://schemas.microsoft.com/office/drawing/2014/main" id="{00000000-0008-0000-3200-00008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5" name="Option Button 1164">
          <a:extLst>
            <a:ext uri="{FF2B5EF4-FFF2-40B4-BE49-F238E27FC236}">
              <a16:creationId xmlns:a16="http://schemas.microsoft.com/office/drawing/2014/main" id="{00000000-0008-0000-3200-00008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6" name="Group Box 1165" descr="Group Box 5">
          <a:extLst>
            <a:ext uri="{FF2B5EF4-FFF2-40B4-BE49-F238E27FC236}">
              <a16:creationId xmlns:a16="http://schemas.microsoft.com/office/drawing/2014/main" id="{00000000-0008-0000-3200-00008E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253</xdr:row>
      <xdr:rowOff>28440</xdr:rowOff>
    </xdr:from>
    <xdr:to>
      <xdr:col>7</xdr:col>
      <xdr:colOff>-363960</xdr:colOff>
      <xdr:row>254</xdr:row>
      <xdr:rowOff>0</xdr:rowOff>
    </xdr:to>
    <xdr:sp macro="" textlink="">
      <xdr:nvSpPr>
        <xdr:cNvPr id="1167" name="Option Button 1166">
          <a:extLst>
            <a:ext uri="{FF2B5EF4-FFF2-40B4-BE49-F238E27FC236}">
              <a16:creationId xmlns:a16="http://schemas.microsoft.com/office/drawing/2014/main" id="{00000000-0008-0000-3200-00008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8" name="Option Button 1167">
          <a:extLst>
            <a:ext uri="{FF2B5EF4-FFF2-40B4-BE49-F238E27FC236}">
              <a16:creationId xmlns:a16="http://schemas.microsoft.com/office/drawing/2014/main" id="{00000000-0008-0000-3200-00009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9" name="Option Button 1168">
          <a:extLst>
            <a:ext uri="{FF2B5EF4-FFF2-40B4-BE49-F238E27FC236}">
              <a16:creationId xmlns:a16="http://schemas.microsoft.com/office/drawing/2014/main" id="{00000000-0008-0000-3200-00009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0" name="Option Button 1169">
          <a:extLst>
            <a:ext uri="{FF2B5EF4-FFF2-40B4-BE49-F238E27FC236}">
              <a16:creationId xmlns:a16="http://schemas.microsoft.com/office/drawing/2014/main" id="{00000000-0008-0000-3200-00009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1" name="Group Box 1170" descr="Group Box 5">
          <a:extLst>
            <a:ext uri="{FF2B5EF4-FFF2-40B4-BE49-F238E27FC236}">
              <a16:creationId xmlns:a16="http://schemas.microsoft.com/office/drawing/2014/main" id="{00000000-0008-0000-3200-000093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254</xdr:row>
      <xdr:rowOff>28440</xdr:rowOff>
    </xdr:from>
    <xdr:to>
      <xdr:col>7</xdr:col>
      <xdr:colOff>-363960</xdr:colOff>
      <xdr:row>255</xdr:row>
      <xdr:rowOff>0</xdr:rowOff>
    </xdr:to>
    <xdr:sp macro="" textlink="">
      <xdr:nvSpPr>
        <xdr:cNvPr id="1172" name="Option Button 1171">
          <a:extLst>
            <a:ext uri="{FF2B5EF4-FFF2-40B4-BE49-F238E27FC236}">
              <a16:creationId xmlns:a16="http://schemas.microsoft.com/office/drawing/2014/main" id="{00000000-0008-0000-3200-00009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3" name="Option Button 1172">
          <a:extLst>
            <a:ext uri="{FF2B5EF4-FFF2-40B4-BE49-F238E27FC236}">
              <a16:creationId xmlns:a16="http://schemas.microsoft.com/office/drawing/2014/main" id="{00000000-0008-0000-3200-00009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4" name="Option Button 1173">
          <a:extLst>
            <a:ext uri="{FF2B5EF4-FFF2-40B4-BE49-F238E27FC236}">
              <a16:creationId xmlns:a16="http://schemas.microsoft.com/office/drawing/2014/main" id="{00000000-0008-0000-3200-00009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5" name="Option Button 1174">
          <a:extLst>
            <a:ext uri="{FF2B5EF4-FFF2-40B4-BE49-F238E27FC236}">
              <a16:creationId xmlns:a16="http://schemas.microsoft.com/office/drawing/2014/main" id="{00000000-0008-0000-3200-00009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6" name="Group Box 1175" descr="Group Box 5">
          <a:extLst>
            <a:ext uri="{FF2B5EF4-FFF2-40B4-BE49-F238E27FC236}">
              <a16:creationId xmlns:a16="http://schemas.microsoft.com/office/drawing/2014/main" id="{00000000-0008-0000-3200-000098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255</xdr:row>
      <xdr:rowOff>28440</xdr:rowOff>
    </xdr:from>
    <xdr:to>
      <xdr:col>7</xdr:col>
      <xdr:colOff>-363960</xdr:colOff>
      <xdr:row>256</xdr:row>
      <xdr:rowOff>0</xdr:rowOff>
    </xdr:to>
    <xdr:sp macro="" textlink="">
      <xdr:nvSpPr>
        <xdr:cNvPr id="1177" name="Option Button 1176">
          <a:extLst>
            <a:ext uri="{FF2B5EF4-FFF2-40B4-BE49-F238E27FC236}">
              <a16:creationId xmlns:a16="http://schemas.microsoft.com/office/drawing/2014/main" id="{00000000-0008-0000-3200-00009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8" name="Option Button 1177">
          <a:extLst>
            <a:ext uri="{FF2B5EF4-FFF2-40B4-BE49-F238E27FC236}">
              <a16:creationId xmlns:a16="http://schemas.microsoft.com/office/drawing/2014/main" id="{00000000-0008-0000-3200-00009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9" name="Option Button 1178">
          <a:extLst>
            <a:ext uri="{FF2B5EF4-FFF2-40B4-BE49-F238E27FC236}">
              <a16:creationId xmlns:a16="http://schemas.microsoft.com/office/drawing/2014/main" id="{00000000-0008-0000-3200-00009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0" name="Option Button 1179">
          <a:extLst>
            <a:ext uri="{FF2B5EF4-FFF2-40B4-BE49-F238E27FC236}">
              <a16:creationId xmlns:a16="http://schemas.microsoft.com/office/drawing/2014/main" id="{00000000-0008-0000-3200-00009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1" name="Group Box 1180" descr="Group Box 5">
          <a:extLst>
            <a:ext uri="{FF2B5EF4-FFF2-40B4-BE49-F238E27FC236}">
              <a16:creationId xmlns:a16="http://schemas.microsoft.com/office/drawing/2014/main" id="{00000000-0008-0000-3200-00009D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256</xdr:row>
      <xdr:rowOff>28440</xdr:rowOff>
    </xdr:from>
    <xdr:to>
      <xdr:col>7</xdr:col>
      <xdr:colOff>-363960</xdr:colOff>
      <xdr:row>257</xdr:row>
      <xdr:rowOff>0</xdr:rowOff>
    </xdr:to>
    <xdr:sp macro="" textlink="">
      <xdr:nvSpPr>
        <xdr:cNvPr id="1182" name="Option Button 1181">
          <a:extLst>
            <a:ext uri="{FF2B5EF4-FFF2-40B4-BE49-F238E27FC236}">
              <a16:creationId xmlns:a16="http://schemas.microsoft.com/office/drawing/2014/main" id="{00000000-0008-0000-3200-00009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3" name="Option Button 1182">
          <a:extLst>
            <a:ext uri="{FF2B5EF4-FFF2-40B4-BE49-F238E27FC236}">
              <a16:creationId xmlns:a16="http://schemas.microsoft.com/office/drawing/2014/main" id="{00000000-0008-0000-3200-00009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4" name="Option Button 1183">
          <a:extLst>
            <a:ext uri="{FF2B5EF4-FFF2-40B4-BE49-F238E27FC236}">
              <a16:creationId xmlns:a16="http://schemas.microsoft.com/office/drawing/2014/main" id="{00000000-0008-0000-3200-0000A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5" name="Option Button 1184">
          <a:extLst>
            <a:ext uri="{FF2B5EF4-FFF2-40B4-BE49-F238E27FC236}">
              <a16:creationId xmlns:a16="http://schemas.microsoft.com/office/drawing/2014/main" id="{00000000-0008-0000-3200-0000A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6" name="Group Box 1185" descr="Group Box 5">
          <a:extLst>
            <a:ext uri="{FF2B5EF4-FFF2-40B4-BE49-F238E27FC236}">
              <a16:creationId xmlns:a16="http://schemas.microsoft.com/office/drawing/2014/main" id="{00000000-0008-0000-3200-0000A2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257</xdr:row>
      <xdr:rowOff>28440</xdr:rowOff>
    </xdr:from>
    <xdr:to>
      <xdr:col>7</xdr:col>
      <xdr:colOff>-363960</xdr:colOff>
      <xdr:row>258</xdr:row>
      <xdr:rowOff>0</xdr:rowOff>
    </xdr:to>
    <xdr:sp macro="" textlink="">
      <xdr:nvSpPr>
        <xdr:cNvPr id="1187" name="Option Button 1186">
          <a:extLst>
            <a:ext uri="{FF2B5EF4-FFF2-40B4-BE49-F238E27FC236}">
              <a16:creationId xmlns:a16="http://schemas.microsoft.com/office/drawing/2014/main" id="{00000000-0008-0000-3200-0000A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8" name="Option Button 1187">
          <a:extLst>
            <a:ext uri="{FF2B5EF4-FFF2-40B4-BE49-F238E27FC236}">
              <a16:creationId xmlns:a16="http://schemas.microsoft.com/office/drawing/2014/main" id="{00000000-0008-0000-3200-0000A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9" name="Option Button 1188">
          <a:extLst>
            <a:ext uri="{FF2B5EF4-FFF2-40B4-BE49-F238E27FC236}">
              <a16:creationId xmlns:a16="http://schemas.microsoft.com/office/drawing/2014/main" id="{00000000-0008-0000-3200-0000A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0" name="Option Button 1189">
          <a:extLst>
            <a:ext uri="{FF2B5EF4-FFF2-40B4-BE49-F238E27FC236}">
              <a16:creationId xmlns:a16="http://schemas.microsoft.com/office/drawing/2014/main" id="{00000000-0008-0000-3200-0000A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1" name="Group Box 1190" descr="Group Box 5">
          <a:extLst>
            <a:ext uri="{FF2B5EF4-FFF2-40B4-BE49-F238E27FC236}">
              <a16:creationId xmlns:a16="http://schemas.microsoft.com/office/drawing/2014/main" id="{00000000-0008-0000-3200-0000A7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258</xdr:row>
      <xdr:rowOff>28440</xdr:rowOff>
    </xdr:from>
    <xdr:to>
      <xdr:col>7</xdr:col>
      <xdr:colOff>-363960</xdr:colOff>
      <xdr:row>259</xdr:row>
      <xdr:rowOff>0</xdr:rowOff>
    </xdr:to>
    <xdr:sp macro="" textlink="">
      <xdr:nvSpPr>
        <xdr:cNvPr id="1192" name="Option Button 1191">
          <a:extLst>
            <a:ext uri="{FF2B5EF4-FFF2-40B4-BE49-F238E27FC236}">
              <a16:creationId xmlns:a16="http://schemas.microsoft.com/office/drawing/2014/main" id="{00000000-0008-0000-3200-0000A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3" name="Option Button 1192">
          <a:extLst>
            <a:ext uri="{FF2B5EF4-FFF2-40B4-BE49-F238E27FC236}">
              <a16:creationId xmlns:a16="http://schemas.microsoft.com/office/drawing/2014/main" id="{00000000-0008-0000-3200-0000A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4" name="Option Button 1193">
          <a:extLst>
            <a:ext uri="{FF2B5EF4-FFF2-40B4-BE49-F238E27FC236}">
              <a16:creationId xmlns:a16="http://schemas.microsoft.com/office/drawing/2014/main" id="{00000000-0008-0000-3200-0000A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5" name="Option Button 1194">
          <a:extLst>
            <a:ext uri="{FF2B5EF4-FFF2-40B4-BE49-F238E27FC236}">
              <a16:creationId xmlns:a16="http://schemas.microsoft.com/office/drawing/2014/main" id="{00000000-0008-0000-3200-0000A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6" name="Group Box 1195" descr="Group Box 5">
          <a:extLst>
            <a:ext uri="{FF2B5EF4-FFF2-40B4-BE49-F238E27FC236}">
              <a16:creationId xmlns:a16="http://schemas.microsoft.com/office/drawing/2014/main" id="{00000000-0008-0000-3200-0000AC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259</xdr:row>
      <xdr:rowOff>28440</xdr:rowOff>
    </xdr:from>
    <xdr:to>
      <xdr:col>7</xdr:col>
      <xdr:colOff>-363960</xdr:colOff>
      <xdr:row>260</xdr:row>
      <xdr:rowOff>0</xdr:rowOff>
    </xdr:to>
    <xdr:sp macro="" textlink="">
      <xdr:nvSpPr>
        <xdr:cNvPr id="1197" name="Option Button 1196">
          <a:extLst>
            <a:ext uri="{FF2B5EF4-FFF2-40B4-BE49-F238E27FC236}">
              <a16:creationId xmlns:a16="http://schemas.microsoft.com/office/drawing/2014/main" id="{00000000-0008-0000-3200-0000A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8" name="Option Button 1197">
          <a:extLst>
            <a:ext uri="{FF2B5EF4-FFF2-40B4-BE49-F238E27FC236}">
              <a16:creationId xmlns:a16="http://schemas.microsoft.com/office/drawing/2014/main" id="{00000000-0008-0000-3200-0000A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9" name="Option Button 1198">
          <a:extLst>
            <a:ext uri="{FF2B5EF4-FFF2-40B4-BE49-F238E27FC236}">
              <a16:creationId xmlns:a16="http://schemas.microsoft.com/office/drawing/2014/main" id="{00000000-0008-0000-3200-0000A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0" name="Option Button 1199">
          <a:extLst>
            <a:ext uri="{FF2B5EF4-FFF2-40B4-BE49-F238E27FC236}">
              <a16:creationId xmlns:a16="http://schemas.microsoft.com/office/drawing/2014/main" id="{00000000-0008-0000-3200-0000B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1" name="Group Box 1200" descr="Group Box 5">
          <a:extLst>
            <a:ext uri="{FF2B5EF4-FFF2-40B4-BE49-F238E27FC236}">
              <a16:creationId xmlns:a16="http://schemas.microsoft.com/office/drawing/2014/main" id="{00000000-0008-0000-3200-0000B1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260</xdr:row>
      <xdr:rowOff>28440</xdr:rowOff>
    </xdr:from>
    <xdr:to>
      <xdr:col>7</xdr:col>
      <xdr:colOff>-363960</xdr:colOff>
      <xdr:row>261</xdr:row>
      <xdr:rowOff>0</xdr:rowOff>
    </xdr:to>
    <xdr:sp macro="" textlink="">
      <xdr:nvSpPr>
        <xdr:cNvPr id="1202" name="Option Button 1201">
          <a:extLst>
            <a:ext uri="{FF2B5EF4-FFF2-40B4-BE49-F238E27FC236}">
              <a16:creationId xmlns:a16="http://schemas.microsoft.com/office/drawing/2014/main" id="{00000000-0008-0000-3200-0000B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3" name="Option Button 1202">
          <a:extLst>
            <a:ext uri="{FF2B5EF4-FFF2-40B4-BE49-F238E27FC236}">
              <a16:creationId xmlns:a16="http://schemas.microsoft.com/office/drawing/2014/main" id="{00000000-0008-0000-3200-0000B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4" name="Option Button 1203">
          <a:extLst>
            <a:ext uri="{FF2B5EF4-FFF2-40B4-BE49-F238E27FC236}">
              <a16:creationId xmlns:a16="http://schemas.microsoft.com/office/drawing/2014/main" id="{00000000-0008-0000-3200-0000B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5" name="Option Button 1204">
          <a:extLst>
            <a:ext uri="{FF2B5EF4-FFF2-40B4-BE49-F238E27FC236}">
              <a16:creationId xmlns:a16="http://schemas.microsoft.com/office/drawing/2014/main" id="{00000000-0008-0000-3200-0000B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6" name="Group Box 1205" descr="Group Box 5">
          <a:extLst>
            <a:ext uri="{FF2B5EF4-FFF2-40B4-BE49-F238E27FC236}">
              <a16:creationId xmlns:a16="http://schemas.microsoft.com/office/drawing/2014/main" id="{00000000-0008-0000-3200-0000B6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261</xdr:row>
      <xdr:rowOff>28440</xdr:rowOff>
    </xdr:from>
    <xdr:to>
      <xdr:col>7</xdr:col>
      <xdr:colOff>-363960</xdr:colOff>
      <xdr:row>262</xdr:row>
      <xdr:rowOff>0</xdr:rowOff>
    </xdr:to>
    <xdr:sp macro="" textlink="">
      <xdr:nvSpPr>
        <xdr:cNvPr id="1207" name="Option Button 1206">
          <a:extLst>
            <a:ext uri="{FF2B5EF4-FFF2-40B4-BE49-F238E27FC236}">
              <a16:creationId xmlns:a16="http://schemas.microsoft.com/office/drawing/2014/main" id="{00000000-0008-0000-3200-0000B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8" name="Option Button 1207">
          <a:extLst>
            <a:ext uri="{FF2B5EF4-FFF2-40B4-BE49-F238E27FC236}">
              <a16:creationId xmlns:a16="http://schemas.microsoft.com/office/drawing/2014/main" id="{00000000-0008-0000-3200-0000B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9" name="Option Button 1208">
          <a:extLst>
            <a:ext uri="{FF2B5EF4-FFF2-40B4-BE49-F238E27FC236}">
              <a16:creationId xmlns:a16="http://schemas.microsoft.com/office/drawing/2014/main" id="{00000000-0008-0000-3200-0000B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0" name="Option Button 1209">
          <a:extLst>
            <a:ext uri="{FF2B5EF4-FFF2-40B4-BE49-F238E27FC236}">
              <a16:creationId xmlns:a16="http://schemas.microsoft.com/office/drawing/2014/main" id="{00000000-0008-0000-3200-0000B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1" name="Group Box 1210" descr="Group Box 5">
          <a:extLst>
            <a:ext uri="{FF2B5EF4-FFF2-40B4-BE49-F238E27FC236}">
              <a16:creationId xmlns:a16="http://schemas.microsoft.com/office/drawing/2014/main" id="{00000000-0008-0000-3200-0000BB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262</xdr:row>
      <xdr:rowOff>28440</xdr:rowOff>
    </xdr:from>
    <xdr:to>
      <xdr:col>7</xdr:col>
      <xdr:colOff>-363960</xdr:colOff>
      <xdr:row>263</xdr:row>
      <xdr:rowOff>0</xdr:rowOff>
    </xdr:to>
    <xdr:sp macro="" textlink="">
      <xdr:nvSpPr>
        <xdr:cNvPr id="1212" name="Option Button 1211">
          <a:extLst>
            <a:ext uri="{FF2B5EF4-FFF2-40B4-BE49-F238E27FC236}">
              <a16:creationId xmlns:a16="http://schemas.microsoft.com/office/drawing/2014/main" id="{00000000-0008-0000-3200-0000B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3" name="Option Button 1212">
          <a:extLst>
            <a:ext uri="{FF2B5EF4-FFF2-40B4-BE49-F238E27FC236}">
              <a16:creationId xmlns:a16="http://schemas.microsoft.com/office/drawing/2014/main" id="{00000000-0008-0000-3200-0000B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4" name="Option Button 1213">
          <a:extLst>
            <a:ext uri="{FF2B5EF4-FFF2-40B4-BE49-F238E27FC236}">
              <a16:creationId xmlns:a16="http://schemas.microsoft.com/office/drawing/2014/main" id="{00000000-0008-0000-3200-0000B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5" name="Option Button 1214">
          <a:extLst>
            <a:ext uri="{FF2B5EF4-FFF2-40B4-BE49-F238E27FC236}">
              <a16:creationId xmlns:a16="http://schemas.microsoft.com/office/drawing/2014/main" id="{00000000-0008-0000-3200-0000B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6" name="Group Box 1215" descr="Group Box 5">
          <a:extLst>
            <a:ext uri="{FF2B5EF4-FFF2-40B4-BE49-F238E27FC236}">
              <a16:creationId xmlns:a16="http://schemas.microsoft.com/office/drawing/2014/main" id="{00000000-0008-0000-3200-0000C0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263</xdr:row>
      <xdr:rowOff>28440</xdr:rowOff>
    </xdr:from>
    <xdr:to>
      <xdr:col>7</xdr:col>
      <xdr:colOff>-363960</xdr:colOff>
      <xdr:row>264</xdr:row>
      <xdr:rowOff>0</xdr:rowOff>
    </xdr:to>
    <xdr:sp macro="" textlink="">
      <xdr:nvSpPr>
        <xdr:cNvPr id="1217" name="Option Button 1216">
          <a:extLst>
            <a:ext uri="{FF2B5EF4-FFF2-40B4-BE49-F238E27FC236}">
              <a16:creationId xmlns:a16="http://schemas.microsoft.com/office/drawing/2014/main" id="{00000000-0008-0000-3200-0000C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8" name="Option Button 1217">
          <a:extLst>
            <a:ext uri="{FF2B5EF4-FFF2-40B4-BE49-F238E27FC236}">
              <a16:creationId xmlns:a16="http://schemas.microsoft.com/office/drawing/2014/main" id="{00000000-0008-0000-3200-0000C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9" name="Option Button 1218">
          <a:extLst>
            <a:ext uri="{FF2B5EF4-FFF2-40B4-BE49-F238E27FC236}">
              <a16:creationId xmlns:a16="http://schemas.microsoft.com/office/drawing/2014/main" id="{00000000-0008-0000-3200-0000C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0" name="Option Button 1219">
          <a:extLst>
            <a:ext uri="{FF2B5EF4-FFF2-40B4-BE49-F238E27FC236}">
              <a16:creationId xmlns:a16="http://schemas.microsoft.com/office/drawing/2014/main" id="{00000000-0008-0000-3200-0000C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1" name="Group Box 1220" descr="Group Box 5">
          <a:extLst>
            <a:ext uri="{FF2B5EF4-FFF2-40B4-BE49-F238E27FC236}">
              <a16:creationId xmlns:a16="http://schemas.microsoft.com/office/drawing/2014/main" id="{00000000-0008-0000-3200-0000C5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264</xdr:row>
      <xdr:rowOff>28440</xdr:rowOff>
    </xdr:from>
    <xdr:to>
      <xdr:col>7</xdr:col>
      <xdr:colOff>-363960</xdr:colOff>
      <xdr:row>265</xdr:row>
      <xdr:rowOff>0</xdr:rowOff>
    </xdr:to>
    <xdr:sp macro="" textlink="">
      <xdr:nvSpPr>
        <xdr:cNvPr id="1222" name="Option Button 1221">
          <a:extLst>
            <a:ext uri="{FF2B5EF4-FFF2-40B4-BE49-F238E27FC236}">
              <a16:creationId xmlns:a16="http://schemas.microsoft.com/office/drawing/2014/main" id="{00000000-0008-0000-3200-0000C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3" name="Option Button 1222">
          <a:extLst>
            <a:ext uri="{FF2B5EF4-FFF2-40B4-BE49-F238E27FC236}">
              <a16:creationId xmlns:a16="http://schemas.microsoft.com/office/drawing/2014/main" id="{00000000-0008-0000-3200-0000C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4" name="Option Button 1223">
          <a:extLst>
            <a:ext uri="{FF2B5EF4-FFF2-40B4-BE49-F238E27FC236}">
              <a16:creationId xmlns:a16="http://schemas.microsoft.com/office/drawing/2014/main" id="{00000000-0008-0000-3200-0000C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5" name="Option Button 1224">
          <a:extLst>
            <a:ext uri="{FF2B5EF4-FFF2-40B4-BE49-F238E27FC236}">
              <a16:creationId xmlns:a16="http://schemas.microsoft.com/office/drawing/2014/main" id="{00000000-0008-0000-3200-0000C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6" name="Group Box 1225" descr="Group Box 5">
          <a:extLst>
            <a:ext uri="{FF2B5EF4-FFF2-40B4-BE49-F238E27FC236}">
              <a16:creationId xmlns:a16="http://schemas.microsoft.com/office/drawing/2014/main" id="{00000000-0008-0000-3200-0000CA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265</xdr:row>
      <xdr:rowOff>28440</xdr:rowOff>
    </xdr:from>
    <xdr:to>
      <xdr:col>7</xdr:col>
      <xdr:colOff>-363960</xdr:colOff>
      <xdr:row>266</xdr:row>
      <xdr:rowOff>0</xdr:rowOff>
    </xdr:to>
    <xdr:sp macro="" textlink="">
      <xdr:nvSpPr>
        <xdr:cNvPr id="1227" name="Option Button 1226">
          <a:extLst>
            <a:ext uri="{FF2B5EF4-FFF2-40B4-BE49-F238E27FC236}">
              <a16:creationId xmlns:a16="http://schemas.microsoft.com/office/drawing/2014/main" id="{00000000-0008-0000-3200-0000C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8" name="Option Button 1227">
          <a:extLst>
            <a:ext uri="{FF2B5EF4-FFF2-40B4-BE49-F238E27FC236}">
              <a16:creationId xmlns:a16="http://schemas.microsoft.com/office/drawing/2014/main" id="{00000000-0008-0000-3200-0000C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9" name="Option Button 1228">
          <a:extLst>
            <a:ext uri="{FF2B5EF4-FFF2-40B4-BE49-F238E27FC236}">
              <a16:creationId xmlns:a16="http://schemas.microsoft.com/office/drawing/2014/main" id="{00000000-0008-0000-3200-0000C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0" name="Option Button 1229">
          <a:extLst>
            <a:ext uri="{FF2B5EF4-FFF2-40B4-BE49-F238E27FC236}">
              <a16:creationId xmlns:a16="http://schemas.microsoft.com/office/drawing/2014/main" id="{00000000-0008-0000-3200-0000C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1" name="Group Box 1230" descr="Group Box 5">
          <a:extLst>
            <a:ext uri="{FF2B5EF4-FFF2-40B4-BE49-F238E27FC236}">
              <a16:creationId xmlns:a16="http://schemas.microsoft.com/office/drawing/2014/main" id="{00000000-0008-0000-3200-0000CF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266</xdr:row>
      <xdr:rowOff>28440</xdr:rowOff>
    </xdr:from>
    <xdr:to>
      <xdr:col>7</xdr:col>
      <xdr:colOff>-363960</xdr:colOff>
      <xdr:row>267</xdr:row>
      <xdr:rowOff>0</xdr:rowOff>
    </xdr:to>
    <xdr:sp macro="" textlink="">
      <xdr:nvSpPr>
        <xdr:cNvPr id="1232" name="Option Button 1231">
          <a:extLst>
            <a:ext uri="{FF2B5EF4-FFF2-40B4-BE49-F238E27FC236}">
              <a16:creationId xmlns:a16="http://schemas.microsoft.com/office/drawing/2014/main" id="{00000000-0008-0000-3200-0000D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3" name="Option Button 1232">
          <a:extLst>
            <a:ext uri="{FF2B5EF4-FFF2-40B4-BE49-F238E27FC236}">
              <a16:creationId xmlns:a16="http://schemas.microsoft.com/office/drawing/2014/main" id="{00000000-0008-0000-3200-0000D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4" name="Option Button 1233">
          <a:extLst>
            <a:ext uri="{FF2B5EF4-FFF2-40B4-BE49-F238E27FC236}">
              <a16:creationId xmlns:a16="http://schemas.microsoft.com/office/drawing/2014/main" id="{00000000-0008-0000-3200-0000D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5" name="Option Button 1234">
          <a:extLst>
            <a:ext uri="{FF2B5EF4-FFF2-40B4-BE49-F238E27FC236}">
              <a16:creationId xmlns:a16="http://schemas.microsoft.com/office/drawing/2014/main" id="{00000000-0008-0000-3200-0000D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6" name="Group Box 1235" descr="Group Box 5">
          <a:extLst>
            <a:ext uri="{FF2B5EF4-FFF2-40B4-BE49-F238E27FC236}">
              <a16:creationId xmlns:a16="http://schemas.microsoft.com/office/drawing/2014/main" id="{00000000-0008-0000-3200-0000D4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267</xdr:row>
      <xdr:rowOff>28440</xdr:rowOff>
    </xdr:from>
    <xdr:to>
      <xdr:col>7</xdr:col>
      <xdr:colOff>-363960</xdr:colOff>
      <xdr:row>268</xdr:row>
      <xdr:rowOff>0</xdr:rowOff>
    </xdr:to>
    <xdr:sp macro="" textlink="">
      <xdr:nvSpPr>
        <xdr:cNvPr id="1237" name="Option Button 1236">
          <a:extLst>
            <a:ext uri="{FF2B5EF4-FFF2-40B4-BE49-F238E27FC236}">
              <a16:creationId xmlns:a16="http://schemas.microsoft.com/office/drawing/2014/main" id="{00000000-0008-0000-3200-0000D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8" name="Option Button 1237">
          <a:extLst>
            <a:ext uri="{FF2B5EF4-FFF2-40B4-BE49-F238E27FC236}">
              <a16:creationId xmlns:a16="http://schemas.microsoft.com/office/drawing/2014/main" id="{00000000-0008-0000-3200-0000D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9" name="Option Button 1238">
          <a:extLst>
            <a:ext uri="{FF2B5EF4-FFF2-40B4-BE49-F238E27FC236}">
              <a16:creationId xmlns:a16="http://schemas.microsoft.com/office/drawing/2014/main" id="{00000000-0008-0000-3200-0000D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0" name="Option Button 1239">
          <a:extLst>
            <a:ext uri="{FF2B5EF4-FFF2-40B4-BE49-F238E27FC236}">
              <a16:creationId xmlns:a16="http://schemas.microsoft.com/office/drawing/2014/main" id="{00000000-0008-0000-3200-0000D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1" name="Group Box 1240" descr="Group Box 5">
          <a:extLst>
            <a:ext uri="{FF2B5EF4-FFF2-40B4-BE49-F238E27FC236}">
              <a16:creationId xmlns:a16="http://schemas.microsoft.com/office/drawing/2014/main" id="{00000000-0008-0000-3200-0000D9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268</xdr:row>
      <xdr:rowOff>28440</xdr:rowOff>
    </xdr:from>
    <xdr:to>
      <xdr:col>7</xdr:col>
      <xdr:colOff>-363960</xdr:colOff>
      <xdr:row>269</xdr:row>
      <xdr:rowOff>0</xdr:rowOff>
    </xdr:to>
    <xdr:sp macro="" textlink="">
      <xdr:nvSpPr>
        <xdr:cNvPr id="1242" name="Option Button 1241">
          <a:extLst>
            <a:ext uri="{FF2B5EF4-FFF2-40B4-BE49-F238E27FC236}">
              <a16:creationId xmlns:a16="http://schemas.microsoft.com/office/drawing/2014/main" id="{00000000-0008-0000-3200-0000D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3" name="Option Button 1242">
          <a:extLst>
            <a:ext uri="{FF2B5EF4-FFF2-40B4-BE49-F238E27FC236}">
              <a16:creationId xmlns:a16="http://schemas.microsoft.com/office/drawing/2014/main" id="{00000000-0008-0000-3200-0000D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4" name="Option Button 1243">
          <a:extLst>
            <a:ext uri="{FF2B5EF4-FFF2-40B4-BE49-F238E27FC236}">
              <a16:creationId xmlns:a16="http://schemas.microsoft.com/office/drawing/2014/main" id="{00000000-0008-0000-3200-0000D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5" name="Option Button 1244">
          <a:extLst>
            <a:ext uri="{FF2B5EF4-FFF2-40B4-BE49-F238E27FC236}">
              <a16:creationId xmlns:a16="http://schemas.microsoft.com/office/drawing/2014/main" id="{00000000-0008-0000-3200-0000D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6" name="Group Box 1245" descr="Group Box 5">
          <a:extLst>
            <a:ext uri="{FF2B5EF4-FFF2-40B4-BE49-F238E27FC236}">
              <a16:creationId xmlns:a16="http://schemas.microsoft.com/office/drawing/2014/main" id="{00000000-0008-0000-3200-0000DE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269</xdr:row>
      <xdr:rowOff>28440</xdr:rowOff>
    </xdr:from>
    <xdr:to>
      <xdr:col>7</xdr:col>
      <xdr:colOff>-363960</xdr:colOff>
      <xdr:row>270</xdr:row>
      <xdr:rowOff>0</xdr:rowOff>
    </xdr:to>
    <xdr:sp macro="" textlink="">
      <xdr:nvSpPr>
        <xdr:cNvPr id="1247" name="Option Button 1246">
          <a:extLst>
            <a:ext uri="{FF2B5EF4-FFF2-40B4-BE49-F238E27FC236}">
              <a16:creationId xmlns:a16="http://schemas.microsoft.com/office/drawing/2014/main" id="{00000000-0008-0000-3200-0000D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8" name="Option Button 1247">
          <a:extLst>
            <a:ext uri="{FF2B5EF4-FFF2-40B4-BE49-F238E27FC236}">
              <a16:creationId xmlns:a16="http://schemas.microsoft.com/office/drawing/2014/main" id="{00000000-0008-0000-3200-0000E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9" name="Option Button 1248">
          <a:extLst>
            <a:ext uri="{FF2B5EF4-FFF2-40B4-BE49-F238E27FC236}">
              <a16:creationId xmlns:a16="http://schemas.microsoft.com/office/drawing/2014/main" id="{00000000-0008-0000-3200-0000E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0" name="Option Button 1249">
          <a:extLst>
            <a:ext uri="{FF2B5EF4-FFF2-40B4-BE49-F238E27FC236}">
              <a16:creationId xmlns:a16="http://schemas.microsoft.com/office/drawing/2014/main" id="{00000000-0008-0000-3200-0000E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1" name="Group Box 1250" descr="Group Box 5">
          <a:extLst>
            <a:ext uri="{FF2B5EF4-FFF2-40B4-BE49-F238E27FC236}">
              <a16:creationId xmlns:a16="http://schemas.microsoft.com/office/drawing/2014/main" id="{00000000-0008-0000-3200-0000E3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270</xdr:row>
      <xdr:rowOff>28440</xdr:rowOff>
    </xdr:from>
    <xdr:to>
      <xdr:col>7</xdr:col>
      <xdr:colOff>-363960</xdr:colOff>
      <xdr:row>271</xdr:row>
      <xdr:rowOff>0</xdr:rowOff>
    </xdr:to>
    <xdr:sp macro="" textlink="">
      <xdr:nvSpPr>
        <xdr:cNvPr id="1252" name="Option Button 1251">
          <a:extLst>
            <a:ext uri="{FF2B5EF4-FFF2-40B4-BE49-F238E27FC236}">
              <a16:creationId xmlns:a16="http://schemas.microsoft.com/office/drawing/2014/main" id="{00000000-0008-0000-3200-0000E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3" name="Option Button 1252">
          <a:extLst>
            <a:ext uri="{FF2B5EF4-FFF2-40B4-BE49-F238E27FC236}">
              <a16:creationId xmlns:a16="http://schemas.microsoft.com/office/drawing/2014/main" id="{00000000-0008-0000-3200-0000E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4" name="Option Button 1253">
          <a:extLst>
            <a:ext uri="{FF2B5EF4-FFF2-40B4-BE49-F238E27FC236}">
              <a16:creationId xmlns:a16="http://schemas.microsoft.com/office/drawing/2014/main" id="{00000000-0008-0000-3200-0000E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5" name="Option Button 1254">
          <a:extLst>
            <a:ext uri="{FF2B5EF4-FFF2-40B4-BE49-F238E27FC236}">
              <a16:creationId xmlns:a16="http://schemas.microsoft.com/office/drawing/2014/main" id="{00000000-0008-0000-3200-0000E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6" name="Group Box 1255" descr="Group Box 5">
          <a:extLst>
            <a:ext uri="{FF2B5EF4-FFF2-40B4-BE49-F238E27FC236}">
              <a16:creationId xmlns:a16="http://schemas.microsoft.com/office/drawing/2014/main" id="{00000000-0008-0000-3200-0000E8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271</xdr:row>
      <xdr:rowOff>28440</xdr:rowOff>
    </xdr:from>
    <xdr:to>
      <xdr:col>7</xdr:col>
      <xdr:colOff>-363960</xdr:colOff>
      <xdr:row>272</xdr:row>
      <xdr:rowOff>0</xdr:rowOff>
    </xdr:to>
    <xdr:sp macro="" textlink="">
      <xdr:nvSpPr>
        <xdr:cNvPr id="1257" name="Option Button 1256">
          <a:extLst>
            <a:ext uri="{FF2B5EF4-FFF2-40B4-BE49-F238E27FC236}">
              <a16:creationId xmlns:a16="http://schemas.microsoft.com/office/drawing/2014/main" id="{00000000-0008-0000-3200-0000E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8" name="Option Button 1257">
          <a:extLst>
            <a:ext uri="{FF2B5EF4-FFF2-40B4-BE49-F238E27FC236}">
              <a16:creationId xmlns:a16="http://schemas.microsoft.com/office/drawing/2014/main" id="{00000000-0008-0000-3200-0000E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9" name="Option Button 1258">
          <a:extLst>
            <a:ext uri="{FF2B5EF4-FFF2-40B4-BE49-F238E27FC236}">
              <a16:creationId xmlns:a16="http://schemas.microsoft.com/office/drawing/2014/main" id="{00000000-0008-0000-3200-0000E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0" name="Option Button 1259">
          <a:extLst>
            <a:ext uri="{FF2B5EF4-FFF2-40B4-BE49-F238E27FC236}">
              <a16:creationId xmlns:a16="http://schemas.microsoft.com/office/drawing/2014/main" id="{00000000-0008-0000-3200-0000E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1" name="Group Box 1260" descr="Group Box 5">
          <a:extLst>
            <a:ext uri="{FF2B5EF4-FFF2-40B4-BE49-F238E27FC236}">
              <a16:creationId xmlns:a16="http://schemas.microsoft.com/office/drawing/2014/main" id="{00000000-0008-0000-3200-0000ED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272</xdr:row>
      <xdr:rowOff>28440</xdr:rowOff>
    </xdr:from>
    <xdr:to>
      <xdr:col>7</xdr:col>
      <xdr:colOff>-363960</xdr:colOff>
      <xdr:row>273</xdr:row>
      <xdr:rowOff>0</xdr:rowOff>
    </xdr:to>
    <xdr:sp macro="" textlink="">
      <xdr:nvSpPr>
        <xdr:cNvPr id="1262" name="Option Button 1261">
          <a:extLst>
            <a:ext uri="{FF2B5EF4-FFF2-40B4-BE49-F238E27FC236}">
              <a16:creationId xmlns:a16="http://schemas.microsoft.com/office/drawing/2014/main" id="{00000000-0008-0000-3200-0000E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3" name="Option Button 1262">
          <a:extLst>
            <a:ext uri="{FF2B5EF4-FFF2-40B4-BE49-F238E27FC236}">
              <a16:creationId xmlns:a16="http://schemas.microsoft.com/office/drawing/2014/main" id="{00000000-0008-0000-3200-0000E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4" name="Option Button 1263">
          <a:extLst>
            <a:ext uri="{FF2B5EF4-FFF2-40B4-BE49-F238E27FC236}">
              <a16:creationId xmlns:a16="http://schemas.microsoft.com/office/drawing/2014/main" id="{00000000-0008-0000-3200-0000F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5" name="Option Button 1264">
          <a:extLst>
            <a:ext uri="{FF2B5EF4-FFF2-40B4-BE49-F238E27FC236}">
              <a16:creationId xmlns:a16="http://schemas.microsoft.com/office/drawing/2014/main" id="{00000000-0008-0000-3200-0000F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6" name="Group Box 1265" descr="Group Box 5">
          <a:extLst>
            <a:ext uri="{FF2B5EF4-FFF2-40B4-BE49-F238E27FC236}">
              <a16:creationId xmlns:a16="http://schemas.microsoft.com/office/drawing/2014/main" id="{00000000-0008-0000-3200-0000F2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273</xdr:row>
      <xdr:rowOff>28440</xdr:rowOff>
    </xdr:from>
    <xdr:to>
      <xdr:col>7</xdr:col>
      <xdr:colOff>-363960</xdr:colOff>
      <xdr:row>274</xdr:row>
      <xdr:rowOff>0</xdr:rowOff>
    </xdr:to>
    <xdr:sp macro="" textlink="">
      <xdr:nvSpPr>
        <xdr:cNvPr id="1267" name="Option Button 1266">
          <a:extLst>
            <a:ext uri="{FF2B5EF4-FFF2-40B4-BE49-F238E27FC236}">
              <a16:creationId xmlns:a16="http://schemas.microsoft.com/office/drawing/2014/main" id="{00000000-0008-0000-3200-0000F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8" name="Option Button 1267">
          <a:extLst>
            <a:ext uri="{FF2B5EF4-FFF2-40B4-BE49-F238E27FC236}">
              <a16:creationId xmlns:a16="http://schemas.microsoft.com/office/drawing/2014/main" id="{00000000-0008-0000-3200-0000F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9" name="Option Button 1268">
          <a:extLst>
            <a:ext uri="{FF2B5EF4-FFF2-40B4-BE49-F238E27FC236}">
              <a16:creationId xmlns:a16="http://schemas.microsoft.com/office/drawing/2014/main" id="{00000000-0008-0000-3200-0000F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0" name="Option Button 1269">
          <a:extLst>
            <a:ext uri="{FF2B5EF4-FFF2-40B4-BE49-F238E27FC236}">
              <a16:creationId xmlns:a16="http://schemas.microsoft.com/office/drawing/2014/main" id="{00000000-0008-0000-3200-0000F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1" name="Group Box 1270" descr="Group Box 5">
          <a:extLst>
            <a:ext uri="{FF2B5EF4-FFF2-40B4-BE49-F238E27FC236}">
              <a16:creationId xmlns:a16="http://schemas.microsoft.com/office/drawing/2014/main" id="{00000000-0008-0000-3200-0000F7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274</xdr:row>
      <xdr:rowOff>28440</xdr:rowOff>
    </xdr:from>
    <xdr:to>
      <xdr:col>7</xdr:col>
      <xdr:colOff>-363960</xdr:colOff>
      <xdr:row>275</xdr:row>
      <xdr:rowOff>0</xdr:rowOff>
    </xdr:to>
    <xdr:sp macro="" textlink="">
      <xdr:nvSpPr>
        <xdr:cNvPr id="1272" name="Option Button 1271">
          <a:extLst>
            <a:ext uri="{FF2B5EF4-FFF2-40B4-BE49-F238E27FC236}">
              <a16:creationId xmlns:a16="http://schemas.microsoft.com/office/drawing/2014/main" id="{00000000-0008-0000-3200-0000F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3" name="Option Button 1272">
          <a:extLst>
            <a:ext uri="{FF2B5EF4-FFF2-40B4-BE49-F238E27FC236}">
              <a16:creationId xmlns:a16="http://schemas.microsoft.com/office/drawing/2014/main" id="{00000000-0008-0000-3200-0000F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4" name="Option Button 1273">
          <a:extLst>
            <a:ext uri="{FF2B5EF4-FFF2-40B4-BE49-F238E27FC236}">
              <a16:creationId xmlns:a16="http://schemas.microsoft.com/office/drawing/2014/main" id="{00000000-0008-0000-3200-0000F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5" name="Option Button 1274">
          <a:extLst>
            <a:ext uri="{FF2B5EF4-FFF2-40B4-BE49-F238E27FC236}">
              <a16:creationId xmlns:a16="http://schemas.microsoft.com/office/drawing/2014/main" id="{00000000-0008-0000-3200-0000F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6" name="Group Box 1275" descr="Group Box 5">
          <a:extLst>
            <a:ext uri="{FF2B5EF4-FFF2-40B4-BE49-F238E27FC236}">
              <a16:creationId xmlns:a16="http://schemas.microsoft.com/office/drawing/2014/main" id="{00000000-0008-0000-3200-0000FC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275</xdr:row>
      <xdr:rowOff>28440</xdr:rowOff>
    </xdr:from>
    <xdr:to>
      <xdr:col>7</xdr:col>
      <xdr:colOff>-363960</xdr:colOff>
      <xdr:row>276</xdr:row>
      <xdr:rowOff>0</xdr:rowOff>
    </xdr:to>
    <xdr:sp macro="" textlink="">
      <xdr:nvSpPr>
        <xdr:cNvPr id="1277" name="Option Button 1276">
          <a:extLst>
            <a:ext uri="{FF2B5EF4-FFF2-40B4-BE49-F238E27FC236}">
              <a16:creationId xmlns:a16="http://schemas.microsoft.com/office/drawing/2014/main" id="{00000000-0008-0000-3200-0000F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8" name="Option Button 1277">
          <a:extLst>
            <a:ext uri="{FF2B5EF4-FFF2-40B4-BE49-F238E27FC236}">
              <a16:creationId xmlns:a16="http://schemas.microsoft.com/office/drawing/2014/main" id="{00000000-0008-0000-3200-0000F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9" name="Option Button 1278">
          <a:extLst>
            <a:ext uri="{FF2B5EF4-FFF2-40B4-BE49-F238E27FC236}">
              <a16:creationId xmlns:a16="http://schemas.microsoft.com/office/drawing/2014/main" id="{00000000-0008-0000-3200-0000F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0" name="Option Button 1279">
          <a:extLst>
            <a:ext uri="{FF2B5EF4-FFF2-40B4-BE49-F238E27FC236}">
              <a16:creationId xmlns:a16="http://schemas.microsoft.com/office/drawing/2014/main" id="{00000000-0008-0000-3200-00000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1" name="Group Box 1280" descr="Group Box 5">
          <a:extLst>
            <a:ext uri="{FF2B5EF4-FFF2-40B4-BE49-F238E27FC236}">
              <a16:creationId xmlns:a16="http://schemas.microsoft.com/office/drawing/2014/main" id="{00000000-0008-0000-3200-000001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276</xdr:row>
      <xdr:rowOff>28440</xdr:rowOff>
    </xdr:from>
    <xdr:to>
      <xdr:col>7</xdr:col>
      <xdr:colOff>-363960</xdr:colOff>
      <xdr:row>277</xdr:row>
      <xdr:rowOff>0</xdr:rowOff>
    </xdr:to>
    <xdr:sp macro="" textlink="">
      <xdr:nvSpPr>
        <xdr:cNvPr id="1282" name="Option Button 1281">
          <a:extLst>
            <a:ext uri="{FF2B5EF4-FFF2-40B4-BE49-F238E27FC236}">
              <a16:creationId xmlns:a16="http://schemas.microsoft.com/office/drawing/2014/main" id="{00000000-0008-0000-3200-00000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3" name="Option Button 1282">
          <a:extLst>
            <a:ext uri="{FF2B5EF4-FFF2-40B4-BE49-F238E27FC236}">
              <a16:creationId xmlns:a16="http://schemas.microsoft.com/office/drawing/2014/main" id="{00000000-0008-0000-3200-00000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4" name="Option Button 1283">
          <a:extLst>
            <a:ext uri="{FF2B5EF4-FFF2-40B4-BE49-F238E27FC236}">
              <a16:creationId xmlns:a16="http://schemas.microsoft.com/office/drawing/2014/main" id="{00000000-0008-0000-3200-00000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5" name="Option Button 1284">
          <a:extLst>
            <a:ext uri="{FF2B5EF4-FFF2-40B4-BE49-F238E27FC236}">
              <a16:creationId xmlns:a16="http://schemas.microsoft.com/office/drawing/2014/main" id="{00000000-0008-0000-3200-00000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6" name="Group Box 1285" descr="Group Box 5">
          <a:extLst>
            <a:ext uri="{FF2B5EF4-FFF2-40B4-BE49-F238E27FC236}">
              <a16:creationId xmlns:a16="http://schemas.microsoft.com/office/drawing/2014/main" id="{00000000-0008-0000-3200-000006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277</xdr:row>
      <xdr:rowOff>28440</xdr:rowOff>
    </xdr:from>
    <xdr:to>
      <xdr:col>7</xdr:col>
      <xdr:colOff>-363960</xdr:colOff>
      <xdr:row>278</xdr:row>
      <xdr:rowOff>0</xdr:rowOff>
    </xdr:to>
    <xdr:sp macro="" textlink="">
      <xdr:nvSpPr>
        <xdr:cNvPr id="1287" name="Option Button 1286">
          <a:extLst>
            <a:ext uri="{FF2B5EF4-FFF2-40B4-BE49-F238E27FC236}">
              <a16:creationId xmlns:a16="http://schemas.microsoft.com/office/drawing/2014/main" id="{00000000-0008-0000-3200-00000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8" name="Option Button 1287">
          <a:extLst>
            <a:ext uri="{FF2B5EF4-FFF2-40B4-BE49-F238E27FC236}">
              <a16:creationId xmlns:a16="http://schemas.microsoft.com/office/drawing/2014/main" id="{00000000-0008-0000-3200-00000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9" name="Option Button 1288">
          <a:extLst>
            <a:ext uri="{FF2B5EF4-FFF2-40B4-BE49-F238E27FC236}">
              <a16:creationId xmlns:a16="http://schemas.microsoft.com/office/drawing/2014/main" id="{00000000-0008-0000-3200-00000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0" name="Option Button 1289">
          <a:extLst>
            <a:ext uri="{FF2B5EF4-FFF2-40B4-BE49-F238E27FC236}">
              <a16:creationId xmlns:a16="http://schemas.microsoft.com/office/drawing/2014/main" id="{00000000-0008-0000-3200-00000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1" name="Group Box 1290" descr="Group Box 5">
          <a:extLst>
            <a:ext uri="{FF2B5EF4-FFF2-40B4-BE49-F238E27FC236}">
              <a16:creationId xmlns:a16="http://schemas.microsoft.com/office/drawing/2014/main" id="{00000000-0008-0000-3200-00000B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278</xdr:row>
      <xdr:rowOff>28440</xdr:rowOff>
    </xdr:from>
    <xdr:to>
      <xdr:col>7</xdr:col>
      <xdr:colOff>-363960</xdr:colOff>
      <xdr:row>279</xdr:row>
      <xdr:rowOff>0</xdr:rowOff>
    </xdr:to>
    <xdr:sp macro="" textlink="">
      <xdr:nvSpPr>
        <xdr:cNvPr id="1292" name="Option Button 1291">
          <a:extLst>
            <a:ext uri="{FF2B5EF4-FFF2-40B4-BE49-F238E27FC236}">
              <a16:creationId xmlns:a16="http://schemas.microsoft.com/office/drawing/2014/main" id="{00000000-0008-0000-3200-00000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3" name="Option Button 1292">
          <a:extLst>
            <a:ext uri="{FF2B5EF4-FFF2-40B4-BE49-F238E27FC236}">
              <a16:creationId xmlns:a16="http://schemas.microsoft.com/office/drawing/2014/main" id="{00000000-0008-0000-3200-00000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4" name="Option Button 1293">
          <a:extLst>
            <a:ext uri="{FF2B5EF4-FFF2-40B4-BE49-F238E27FC236}">
              <a16:creationId xmlns:a16="http://schemas.microsoft.com/office/drawing/2014/main" id="{00000000-0008-0000-3200-00000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5" name="Option Button 1294">
          <a:extLst>
            <a:ext uri="{FF2B5EF4-FFF2-40B4-BE49-F238E27FC236}">
              <a16:creationId xmlns:a16="http://schemas.microsoft.com/office/drawing/2014/main" id="{00000000-0008-0000-3200-00000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6" name="Group Box 1295" descr="Group Box 5">
          <a:extLst>
            <a:ext uri="{FF2B5EF4-FFF2-40B4-BE49-F238E27FC236}">
              <a16:creationId xmlns:a16="http://schemas.microsoft.com/office/drawing/2014/main" id="{00000000-0008-0000-3200-000010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279</xdr:row>
      <xdr:rowOff>28440</xdr:rowOff>
    </xdr:from>
    <xdr:to>
      <xdr:col>7</xdr:col>
      <xdr:colOff>-363960</xdr:colOff>
      <xdr:row>280</xdr:row>
      <xdr:rowOff>0</xdr:rowOff>
    </xdr:to>
    <xdr:sp macro="" textlink="">
      <xdr:nvSpPr>
        <xdr:cNvPr id="1297" name="Option Button 1296">
          <a:extLst>
            <a:ext uri="{FF2B5EF4-FFF2-40B4-BE49-F238E27FC236}">
              <a16:creationId xmlns:a16="http://schemas.microsoft.com/office/drawing/2014/main" id="{00000000-0008-0000-3200-00001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8" name="Option Button 1297">
          <a:extLst>
            <a:ext uri="{FF2B5EF4-FFF2-40B4-BE49-F238E27FC236}">
              <a16:creationId xmlns:a16="http://schemas.microsoft.com/office/drawing/2014/main" id="{00000000-0008-0000-3200-00001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9" name="Option Button 1298">
          <a:extLst>
            <a:ext uri="{FF2B5EF4-FFF2-40B4-BE49-F238E27FC236}">
              <a16:creationId xmlns:a16="http://schemas.microsoft.com/office/drawing/2014/main" id="{00000000-0008-0000-3200-00001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0" name="Option Button 1299">
          <a:extLst>
            <a:ext uri="{FF2B5EF4-FFF2-40B4-BE49-F238E27FC236}">
              <a16:creationId xmlns:a16="http://schemas.microsoft.com/office/drawing/2014/main" id="{00000000-0008-0000-3200-00001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1" name="Group Box 1300" descr="Group Box 5">
          <a:extLst>
            <a:ext uri="{FF2B5EF4-FFF2-40B4-BE49-F238E27FC236}">
              <a16:creationId xmlns:a16="http://schemas.microsoft.com/office/drawing/2014/main" id="{00000000-0008-0000-3200-000015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280</xdr:row>
      <xdr:rowOff>28440</xdr:rowOff>
    </xdr:from>
    <xdr:to>
      <xdr:col>7</xdr:col>
      <xdr:colOff>-363960</xdr:colOff>
      <xdr:row>281</xdr:row>
      <xdr:rowOff>0</xdr:rowOff>
    </xdr:to>
    <xdr:sp macro="" textlink="">
      <xdr:nvSpPr>
        <xdr:cNvPr id="1302" name="Option Button 1301">
          <a:extLst>
            <a:ext uri="{FF2B5EF4-FFF2-40B4-BE49-F238E27FC236}">
              <a16:creationId xmlns:a16="http://schemas.microsoft.com/office/drawing/2014/main" id="{00000000-0008-0000-3200-00001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3" name="Option Button 1302">
          <a:extLst>
            <a:ext uri="{FF2B5EF4-FFF2-40B4-BE49-F238E27FC236}">
              <a16:creationId xmlns:a16="http://schemas.microsoft.com/office/drawing/2014/main" id="{00000000-0008-0000-3200-00001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4" name="Option Button 1303">
          <a:extLst>
            <a:ext uri="{FF2B5EF4-FFF2-40B4-BE49-F238E27FC236}">
              <a16:creationId xmlns:a16="http://schemas.microsoft.com/office/drawing/2014/main" id="{00000000-0008-0000-3200-00001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5" name="Option Button 1304">
          <a:extLst>
            <a:ext uri="{FF2B5EF4-FFF2-40B4-BE49-F238E27FC236}">
              <a16:creationId xmlns:a16="http://schemas.microsoft.com/office/drawing/2014/main" id="{00000000-0008-0000-3200-00001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6" name="Group Box 1305" descr="Group Box 5">
          <a:extLst>
            <a:ext uri="{FF2B5EF4-FFF2-40B4-BE49-F238E27FC236}">
              <a16:creationId xmlns:a16="http://schemas.microsoft.com/office/drawing/2014/main" id="{00000000-0008-0000-3200-00001A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281</xdr:row>
      <xdr:rowOff>28440</xdr:rowOff>
    </xdr:from>
    <xdr:to>
      <xdr:col>7</xdr:col>
      <xdr:colOff>-363960</xdr:colOff>
      <xdr:row>282</xdr:row>
      <xdr:rowOff>0</xdr:rowOff>
    </xdr:to>
    <xdr:sp macro="" textlink="">
      <xdr:nvSpPr>
        <xdr:cNvPr id="1307" name="Option Button 1306">
          <a:extLst>
            <a:ext uri="{FF2B5EF4-FFF2-40B4-BE49-F238E27FC236}">
              <a16:creationId xmlns:a16="http://schemas.microsoft.com/office/drawing/2014/main" id="{00000000-0008-0000-3200-00001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8" name="Option Button 1307">
          <a:extLst>
            <a:ext uri="{FF2B5EF4-FFF2-40B4-BE49-F238E27FC236}">
              <a16:creationId xmlns:a16="http://schemas.microsoft.com/office/drawing/2014/main" id="{00000000-0008-0000-3200-00001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9" name="Option Button 1308">
          <a:extLst>
            <a:ext uri="{FF2B5EF4-FFF2-40B4-BE49-F238E27FC236}">
              <a16:creationId xmlns:a16="http://schemas.microsoft.com/office/drawing/2014/main" id="{00000000-0008-0000-3200-00001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0" name="Option Button 1309">
          <a:extLst>
            <a:ext uri="{FF2B5EF4-FFF2-40B4-BE49-F238E27FC236}">
              <a16:creationId xmlns:a16="http://schemas.microsoft.com/office/drawing/2014/main" id="{00000000-0008-0000-3200-00001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1" name="Group Box 1310" descr="Group Box 5">
          <a:extLst>
            <a:ext uri="{FF2B5EF4-FFF2-40B4-BE49-F238E27FC236}">
              <a16:creationId xmlns:a16="http://schemas.microsoft.com/office/drawing/2014/main" id="{00000000-0008-0000-3200-00001F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282</xdr:row>
      <xdr:rowOff>28440</xdr:rowOff>
    </xdr:from>
    <xdr:to>
      <xdr:col>7</xdr:col>
      <xdr:colOff>-363960</xdr:colOff>
      <xdr:row>283</xdr:row>
      <xdr:rowOff>0</xdr:rowOff>
    </xdr:to>
    <xdr:sp macro="" textlink="">
      <xdr:nvSpPr>
        <xdr:cNvPr id="1312" name="Option Button 1311">
          <a:extLst>
            <a:ext uri="{FF2B5EF4-FFF2-40B4-BE49-F238E27FC236}">
              <a16:creationId xmlns:a16="http://schemas.microsoft.com/office/drawing/2014/main" id="{00000000-0008-0000-3200-00002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3" name="Option Button 1312">
          <a:extLst>
            <a:ext uri="{FF2B5EF4-FFF2-40B4-BE49-F238E27FC236}">
              <a16:creationId xmlns:a16="http://schemas.microsoft.com/office/drawing/2014/main" id="{00000000-0008-0000-3200-00002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4" name="Option Button 1313">
          <a:extLst>
            <a:ext uri="{FF2B5EF4-FFF2-40B4-BE49-F238E27FC236}">
              <a16:creationId xmlns:a16="http://schemas.microsoft.com/office/drawing/2014/main" id="{00000000-0008-0000-3200-00002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5" name="Option Button 1314">
          <a:extLst>
            <a:ext uri="{FF2B5EF4-FFF2-40B4-BE49-F238E27FC236}">
              <a16:creationId xmlns:a16="http://schemas.microsoft.com/office/drawing/2014/main" id="{00000000-0008-0000-3200-00002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6" name="Group Box 1315" descr="Group Box 5">
          <a:extLst>
            <a:ext uri="{FF2B5EF4-FFF2-40B4-BE49-F238E27FC236}">
              <a16:creationId xmlns:a16="http://schemas.microsoft.com/office/drawing/2014/main" id="{00000000-0008-0000-3200-000024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283</xdr:row>
      <xdr:rowOff>28440</xdr:rowOff>
    </xdr:from>
    <xdr:to>
      <xdr:col>7</xdr:col>
      <xdr:colOff>-363960</xdr:colOff>
      <xdr:row>284</xdr:row>
      <xdr:rowOff>0</xdr:rowOff>
    </xdr:to>
    <xdr:sp macro="" textlink="">
      <xdr:nvSpPr>
        <xdr:cNvPr id="1317" name="Option Button 1316">
          <a:extLst>
            <a:ext uri="{FF2B5EF4-FFF2-40B4-BE49-F238E27FC236}">
              <a16:creationId xmlns:a16="http://schemas.microsoft.com/office/drawing/2014/main" id="{00000000-0008-0000-3200-00002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8" name="Option Button 1317">
          <a:extLst>
            <a:ext uri="{FF2B5EF4-FFF2-40B4-BE49-F238E27FC236}">
              <a16:creationId xmlns:a16="http://schemas.microsoft.com/office/drawing/2014/main" id="{00000000-0008-0000-3200-00002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9" name="Option Button 1318">
          <a:extLst>
            <a:ext uri="{FF2B5EF4-FFF2-40B4-BE49-F238E27FC236}">
              <a16:creationId xmlns:a16="http://schemas.microsoft.com/office/drawing/2014/main" id="{00000000-0008-0000-3200-00002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0" name="Option Button 1319">
          <a:extLst>
            <a:ext uri="{FF2B5EF4-FFF2-40B4-BE49-F238E27FC236}">
              <a16:creationId xmlns:a16="http://schemas.microsoft.com/office/drawing/2014/main" id="{00000000-0008-0000-3200-00002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1" name="Group Box 1320" descr="Group Box 5">
          <a:extLst>
            <a:ext uri="{FF2B5EF4-FFF2-40B4-BE49-F238E27FC236}">
              <a16:creationId xmlns:a16="http://schemas.microsoft.com/office/drawing/2014/main" id="{00000000-0008-0000-3200-000029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284</xdr:row>
      <xdr:rowOff>28440</xdr:rowOff>
    </xdr:from>
    <xdr:to>
      <xdr:col>7</xdr:col>
      <xdr:colOff>-363960</xdr:colOff>
      <xdr:row>285</xdr:row>
      <xdr:rowOff>0</xdr:rowOff>
    </xdr:to>
    <xdr:sp macro="" textlink="">
      <xdr:nvSpPr>
        <xdr:cNvPr id="1322" name="Option Button 1321">
          <a:extLst>
            <a:ext uri="{FF2B5EF4-FFF2-40B4-BE49-F238E27FC236}">
              <a16:creationId xmlns:a16="http://schemas.microsoft.com/office/drawing/2014/main" id="{00000000-0008-0000-3200-00002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3" name="Option Button 1322">
          <a:extLst>
            <a:ext uri="{FF2B5EF4-FFF2-40B4-BE49-F238E27FC236}">
              <a16:creationId xmlns:a16="http://schemas.microsoft.com/office/drawing/2014/main" id="{00000000-0008-0000-3200-00002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4" name="Option Button 1323">
          <a:extLst>
            <a:ext uri="{FF2B5EF4-FFF2-40B4-BE49-F238E27FC236}">
              <a16:creationId xmlns:a16="http://schemas.microsoft.com/office/drawing/2014/main" id="{00000000-0008-0000-3200-00002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5" name="Option Button 1324">
          <a:extLst>
            <a:ext uri="{FF2B5EF4-FFF2-40B4-BE49-F238E27FC236}">
              <a16:creationId xmlns:a16="http://schemas.microsoft.com/office/drawing/2014/main" id="{00000000-0008-0000-3200-00002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6" name="Group Box 1325" descr="Group Box 5">
          <a:extLst>
            <a:ext uri="{FF2B5EF4-FFF2-40B4-BE49-F238E27FC236}">
              <a16:creationId xmlns:a16="http://schemas.microsoft.com/office/drawing/2014/main" id="{00000000-0008-0000-3200-00002E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285</xdr:row>
      <xdr:rowOff>28440</xdr:rowOff>
    </xdr:from>
    <xdr:to>
      <xdr:col>7</xdr:col>
      <xdr:colOff>-363960</xdr:colOff>
      <xdr:row>286</xdr:row>
      <xdr:rowOff>0</xdr:rowOff>
    </xdr:to>
    <xdr:sp macro="" textlink="">
      <xdr:nvSpPr>
        <xdr:cNvPr id="1327" name="Option Button 1326">
          <a:extLst>
            <a:ext uri="{FF2B5EF4-FFF2-40B4-BE49-F238E27FC236}">
              <a16:creationId xmlns:a16="http://schemas.microsoft.com/office/drawing/2014/main" id="{00000000-0008-0000-3200-00002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8" name="Option Button 1327">
          <a:extLst>
            <a:ext uri="{FF2B5EF4-FFF2-40B4-BE49-F238E27FC236}">
              <a16:creationId xmlns:a16="http://schemas.microsoft.com/office/drawing/2014/main" id="{00000000-0008-0000-3200-00003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9" name="Option Button 1328">
          <a:extLst>
            <a:ext uri="{FF2B5EF4-FFF2-40B4-BE49-F238E27FC236}">
              <a16:creationId xmlns:a16="http://schemas.microsoft.com/office/drawing/2014/main" id="{00000000-0008-0000-3200-00003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0" name="Option Button 1329">
          <a:extLst>
            <a:ext uri="{FF2B5EF4-FFF2-40B4-BE49-F238E27FC236}">
              <a16:creationId xmlns:a16="http://schemas.microsoft.com/office/drawing/2014/main" id="{00000000-0008-0000-3200-00003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1" name="Group Box 1330" descr="Group Box 5">
          <a:extLst>
            <a:ext uri="{FF2B5EF4-FFF2-40B4-BE49-F238E27FC236}">
              <a16:creationId xmlns:a16="http://schemas.microsoft.com/office/drawing/2014/main" id="{00000000-0008-0000-3200-000033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286</xdr:row>
      <xdr:rowOff>28440</xdr:rowOff>
    </xdr:from>
    <xdr:to>
      <xdr:col>7</xdr:col>
      <xdr:colOff>-363960</xdr:colOff>
      <xdr:row>287</xdr:row>
      <xdr:rowOff>0</xdr:rowOff>
    </xdr:to>
    <xdr:sp macro="" textlink="">
      <xdr:nvSpPr>
        <xdr:cNvPr id="1332" name="Option Button 1331">
          <a:extLst>
            <a:ext uri="{FF2B5EF4-FFF2-40B4-BE49-F238E27FC236}">
              <a16:creationId xmlns:a16="http://schemas.microsoft.com/office/drawing/2014/main" id="{00000000-0008-0000-3200-00003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3" name="Option Button 1332">
          <a:extLst>
            <a:ext uri="{FF2B5EF4-FFF2-40B4-BE49-F238E27FC236}">
              <a16:creationId xmlns:a16="http://schemas.microsoft.com/office/drawing/2014/main" id="{00000000-0008-0000-3200-00003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4" name="Option Button 1333">
          <a:extLst>
            <a:ext uri="{FF2B5EF4-FFF2-40B4-BE49-F238E27FC236}">
              <a16:creationId xmlns:a16="http://schemas.microsoft.com/office/drawing/2014/main" id="{00000000-0008-0000-3200-00003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5" name="Option Button 1334">
          <a:extLst>
            <a:ext uri="{FF2B5EF4-FFF2-40B4-BE49-F238E27FC236}">
              <a16:creationId xmlns:a16="http://schemas.microsoft.com/office/drawing/2014/main" id="{00000000-0008-0000-3200-00003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6" name="Group Box 1335" descr="Group Box 5">
          <a:extLst>
            <a:ext uri="{FF2B5EF4-FFF2-40B4-BE49-F238E27FC236}">
              <a16:creationId xmlns:a16="http://schemas.microsoft.com/office/drawing/2014/main" id="{00000000-0008-0000-3200-000038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287</xdr:row>
      <xdr:rowOff>28440</xdr:rowOff>
    </xdr:from>
    <xdr:to>
      <xdr:col>7</xdr:col>
      <xdr:colOff>-363960</xdr:colOff>
      <xdr:row>288</xdr:row>
      <xdr:rowOff>0</xdr:rowOff>
    </xdr:to>
    <xdr:sp macro="" textlink="">
      <xdr:nvSpPr>
        <xdr:cNvPr id="1337" name="Option Button 1336">
          <a:extLst>
            <a:ext uri="{FF2B5EF4-FFF2-40B4-BE49-F238E27FC236}">
              <a16:creationId xmlns:a16="http://schemas.microsoft.com/office/drawing/2014/main" id="{00000000-0008-0000-3200-00003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8" name="Option Button 1337">
          <a:extLst>
            <a:ext uri="{FF2B5EF4-FFF2-40B4-BE49-F238E27FC236}">
              <a16:creationId xmlns:a16="http://schemas.microsoft.com/office/drawing/2014/main" id="{00000000-0008-0000-3200-00003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9" name="Option Button 1338">
          <a:extLst>
            <a:ext uri="{FF2B5EF4-FFF2-40B4-BE49-F238E27FC236}">
              <a16:creationId xmlns:a16="http://schemas.microsoft.com/office/drawing/2014/main" id="{00000000-0008-0000-3200-00003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0" name="Option Button 1339">
          <a:extLst>
            <a:ext uri="{FF2B5EF4-FFF2-40B4-BE49-F238E27FC236}">
              <a16:creationId xmlns:a16="http://schemas.microsoft.com/office/drawing/2014/main" id="{00000000-0008-0000-3200-00003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1" name="Group Box 1340" descr="Group Box 5">
          <a:extLst>
            <a:ext uri="{FF2B5EF4-FFF2-40B4-BE49-F238E27FC236}">
              <a16:creationId xmlns:a16="http://schemas.microsoft.com/office/drawing/2014/main" id="{00000000-0008-0000-3200-00003D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288</xdr:row>
      <xdr:rowOff>28440</xdr:rowOff>
    </xdr:from>
    <xdr:to>
      <xdr:col>7</xdr:col>
      <xdr:colOff>-363960</xdr:colOff>
      <xdr:row>289</xdr:row>
      <xdr:rowOff>0</xdr:rowOff>
    </xdr:to>
    <xdr:sp macro="" textlink="">
      <xdr:nvSpPr>
        <xdr:cNvPr id="1342" name="Option Button 1341">
          <a:extLst>
            <a:ext uri="{FF2B5EF4-FFF2-40B4-BE49-F238E27FC236}">
              <a16:creationId xmlns:a16="http://schemas.microsoft.com/office/drawing/2014/main" id="{00000000-0008-0000-3200-00003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3" name="Option Button 1342">
          <a:extLst>
            <a:ext uri="{FF2B5EF4-FFF2-40B4-BE49-F238E27FC236}">
              <a16:creationId xmlns:a16="http://schemas.microsoft.com/office/drawing/2014/main" id="{00000000-0008-0000-3200-00003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4" name="Option Button 1343">
          <a:extLst>
            <a:ext uri="{FF2B5EF4-FFF2-40B4-BE49-F238E27FC236}">
              <a16:creationId xmlns:a16="http://schemas.microsoft.com/office/drawing/2014/main" id="{00000000-0008-0000-3200-00004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5" name="Option Button 1344">
          <a:extLst>
            <a:ext uri="{FF2B5EF4-FFF2-40B4-BE49-F238E27FC236}">
              <a16:creationId xmlns:a16="http://schemas.microsoft.com/office/drawing/2014/main" id="{00000000-0008-0000-3200-00004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6" name="Group Box 1345" descr="Group Box 5">
          <a:extLst>
            <a:ext uri="{FF2B5EF4-FFF2-40B4-BE49-F238E27FC236}">
              <a16:creationId xmlns:a16="http://schemas.microsoft.com/office/drawing/2014/main" id="{00000000-0008-0000-3200-000042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289</xdr:row>
      <xdr:rowOff>28440</xdr:rowOff>
    </xdr:from>
    <xdr:to>
      <xdr:col>7</xdr:col>
      <xdr:colOff>-363960</xdr:colOff>
      <xdr:row>290</xdr:row>
      <xdr:rowOff>0</xdr:rowOff>
    </xdr:to>
    <xdr:sp macro="" textlink="">
      <xdr:nvSpPr>
        <xdr:cNvPr id="1347" name="Option Button 1346">
          <a:extLst>
            <a:ext uri="{FF2B5EF4-FFF2-40B4-BE49-F238E27FC236}">
              <a16:creationId xmlns:a16="http://schemas.microsoft.com/office/drawing/2014/main" id="{00000000-0008-0000-3200-00004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8" name="Option Button 1347">
          <a:extLst>
            <a:ext uri="{FF2B5EF4-FFF2-40B4-BE49-F238E27FC236}">
              <a16:creationId xmlns:a16="http://schemas.microsoft.com/office/drawing/2014/main" id="{00000000-0008-0000-3200-00004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9" name="Option Button 1348">
          <a:extLst>
            <a:ext uri="{FF2B5EF4-FFF2-40B4-BE49-F238E27FC236}">
              <a16:creationId xmlns:a16="http://schemas.microsoft.com/office/drawing/2014/main" id="{00000000-0008-0000-3200-00004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0" name="Option Button 1349">
          <a:extLst>
            <a:ext uri="{FF2B5EF4-FFF2-40B4-BE49-F238E27FC236}">
              <a16:creationId xmlns:a16="http://schemas.microsoft.com/office/drawing/2014/main" id="{00000000-0008-0000-3200-00004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1" name="Group Box 1350" descr="Group Box 5">
          <a:extLst>
            <a:ext uri="{FF2B5EF4-FFF2-40B4-BE49-F238E27FC236}">
              <a16:creationId xmlns:a16="http://schemas.microsoft.com/office/drawing/2014/main" id="{00000000-0008-0000-3200-000047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290</xdr:row>
      <xdr:rowOff>28440</xdr:rowOff>
    </xdr:from>
    <xdr:to>
      <xdr:col>7</xdr:col>
      <xdr:colOff>-363960</xdr:colOff>
      <xdr:row>291</xdr:row>
      <xdr:rowOff>0</xdr:rowOff>
    </xdr:to>
    <xdr:sp macro="" textlink="">
      <xdr:nvSpPr>
        <xdr:cNvPr id="1352" name="Option Button 1351">
          <a:extLst>
            <a:ext uri="{FF2B5EF4-FFF2-40B4-BE49-F238E27FC236}">
              <a16:creationId xmlns:a16="http://schemas.microsoft.com/office/drawing/2014/main" id="{00000000-0008-0000-3200-00004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3" name="Option Button 1352">
          <a:extLst>
            <a:ext uri="{FF2B5EF4-FFF2-40B4-BE49-F238E27FC236}">
              <a16:creationId xmlns:a16="http://schemas.microsoft.com/office/drawing/2014/main" id="{00000000-0008-0000-3200-00004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4" name="Option Button 1353">
          <a:extLst>
            <a:ext uri="{FF2B5EF4-FFF2-40B4-BE49-F238E27FC236}">
              <a16:creationId xmlns:a16="http://schemas.microsoft.com/office/drawing/2014/main" id="{00000000-0008-0000-3200-00004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5" name="Option Button 1354">
          <a:extLst>
            <a:ext uri="{FF2B5EF4-FFF2-40B4-BE49-F238E27FC236}">
              <a16:creationId xmlns:a16="http://schemas.microsoft.com/office/drawing/2014/main" id="{00000000-0008-0000-3200-00004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6" name="Group Box 1355" descr="Group Box 5">
          <a:extLst>
            <a:ext uri="{FF2B5EF4-FFF2-40B4-BE49-F238E27FC236}">
              <a16:creationId xmlns:a16="http://schemas.microsoft.com/office/drawing/2014/main" id="{00000000-0008-0000-3200-00004C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291</xdr:row>
      <xdr:rowOff>28440</xdr:rowOff>
    </xdr:from>
    <xdr:to>
      <xdr:col>7</xdr:col>
      <xdr:colOff>-363960</xdr:colOff>
      <xdr:row>292</xdr:row>
      <xdr:rowOff>0</xdr:rowOff>
    </xdr:to>
    <xdr:sp macro="" textlink="">
      <xdr:nvSpPr>
        <xdr:cNvPr id="1357" name="Option Button 1356">
          <a:extLst>
            <a:ext uri="{FF2B5EF4-FFF2-40B4-BE49-F238E27FC236}">
              <a16:creationId xmlns:a16="http://schemas.microsoft.com/office/drawing/2014/main" id="{00000000-0008-0000-3200-00004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8" name="Option Button 1357">
          <a:extLst>
            <a:ext uri="{FF2B5EF4-FFF2-40B4-BE49-F238E27FC236}">
              <a16:creationId xmlns:a16="http://schemas.microsoft.com/office/drawing/2014/main" id="{00000000-0008-0000-3200-00004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9" name="Option Button 1358">
          <a:extLst>
            <a:ext uri="{FF2B5EF4-FFF2-40B4-BE49-F238E27FC236}">
              <a16:creationId xmlns:a16="http://schemas.microsoft.com/office/drawing/2014/main" id="{00000000-0008-0000-3200-00004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0" name="Option Button 1359">
          <a:extLst>
            <a:ext uri="{FF2B5EF4-FFF2-40B4-BE49-F238E27FC236}">
              <a16:creationId xmlns:a16="http://schemas.microsoft.com/office/drawing/2014/main" id="{00000000-0008-0000-3200-00005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1" name="Group Box 1360" descr="Group Box 5">
          <a:extLst>
            <a:ext uri="{FF2B5EF4-FFF2-40B4-BE49-F238E27FC236}">
              <a16:creationId xmlns:a16="http://schemas.microsoft.com/office/drawing/2014/main" id="{00000000-0008-0000-3200-000051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292</xdr:row>
      <xdr:rowOff>28440</xdr:rowOff>
    </xdr:from>
    <xdr:to>
      <xdr:col>7</xdr:col>
      <xdr:colOff>-363960</xdr:colOff>
      <xdr:row>293</xdr:row>
      <xdr:rowOff>0</xdr:rowOff>
    </xdr:to>
    <xdr:sp macro="" textlink="">
      <xdr:nvSpPr>
        <xdr:cNvPr id="1362" name="Option Button 1361">
          <a:extLst>
            <a:ext uri="{FF2B5EF4-FFF2-40B4-BE49-F238E27FC236}">
              <a16:creationId xmlns:a16="http://schemas.microsoft.com/office/drawing/2014/main" id="{00000000-0008-0000-3200-00005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3" name="Option Button 1362">
          <a:extLst>
            <a:ext uri="{FF2B5EF4-FFF2-40B4-BE49-F238E27FC236}">
              <a16:creationId xmlns:a16="http://schemas.microsoft.com/office/drawing/2014/main" id="{00000000-0008-0000-3200-00005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4" name="Option Button 1363">
          <a:extLst>
            <a:ext uri="{FF2B5EF4-FFF2-40B4-BE49-F238E27FC236}">
              <a16:creationId xmlns:a16="http://schemas.microsoft.com/office/drawing/2014/main" id="{00000000-0008-0000-3200-00005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5" name="Option Button 1364">
          <a:extLst>
            <a:ext uri="{FF2B5EF4-FFF2-40B4-BE49-F238E27FC236}">
              <a16:creationId xmlns:a16="http://schemas.microsoft.com/office/drawing/2014/main" id="{00000000-0008-0000-3200-00005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6" name="Group Box 1365" descr="Group Box 5">
          <a:extLst>
            <a:ext uri="{FF2B5EF4-FFF2-40B4-BE49-F238E27FC236}">
              <a16:creationId xmlns:a16="http://schemas.microsoft.com/office/drawing/2014/main" id="{00000000-0008-0000-3200-000056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293</xdr:row>
      <xdr:rowOff>28440</xdr:rowOff>
    </xdr:from>
    <xdr:to>
      <xdr:col>7</xdr:col>
      <xdr:colOff>-363960</xdr:colOff>
      <xdr:row>294</xdr:row>
      <xdr:rowOff>0</xdr:rowOff>
    </xdr:to>
    <xdr:sp macro="" textlink="">
      <xdr:nvSpPr>
        <xdr:cNvPr id="1367" name="Option Button 1366">
          <a:extLst>
            <a:ext uri="{FF2B5EF4-FFF2-40B4-BE49-F238E27FC236}">
              <a16:creationId xmlns:a16="http://schemas.microsoft.com/office/drawing/2014/main" id="{00000000-0008-0000-3200-00005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8" name="Option Button 1367">
          <a:extLst>
            <a:ext uri="{FF2B5EF4-FFF2-40B4-BE49-F238E27FC236}">
              <a16:creationId xmlns:a16="http://schemas.microsoft.com/office/drawing/2014/main" id="{00000000-0008-0000-3200-00005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9" name="Option Button 1368">
          <a:extLst>
            <a:ext uri="{FF2B5EF4-FFF2-40B4-BE49-F238E27FC236}">
              <a16:creationId xmlns:a16="http://schemas.microsoft.com/office/drawing/2014/main" id="{00000000-0008-0000-3200-00005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0" name="Option Button 1369">
          <a:extLst>
            <a:ext uri="{FF2B5EF4-FFF2-40B4-BE49-F238E27FC236}">
              <a16:creationId xmlns:a16="http://schemas.microsoft.com/office/drawing/2014/main" id="{00000000-0008-0000-3200-00005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1" name="Group Box 1370" descr="Group Box 5">
          <a:extLst>
            <a:ext uri="{FF2B5EF4-FFF2-40B4-BE49-F238E27FC236}">
              <a16:creationId xmlns:a16="http://schemas.microsoft.com/office/drawing/2014/main" id="{00000000-0008-0000-3200-00005B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294</xdr:row>
      <xdr:rowOff>28440</xdr:rowOff>
    </xdr:from>
    <xdr:to>
      <xdr:col>7</xdr:col>
      <xdr:colOff>-363960</xdr:colOff>
      <xdr:row>295</xdr:row>
      <xdr:rowOff>0</xdr:rowOff>
    </xdr:to>
    <xdr:sp macro="" textlink="">
      <xdr:nvSpPr>
        <xdr:cNvPr id="1372" name="Option Button 1371">
          <a:extLst>
            <a:ext uri="{FF2B5EF4-FFF2-40B4-BE49-F238E27FC236}">
              <a16:creationId xmlns:a16="http://schemas.microsoft.com/office/drawing/2014/main" id="{00000000-0008-0000-3200-00005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3" name="Option Button 1372">
          <a:extLst>
            <a:ext uri="{FF2B5EF4-FFF2-40B4-BE49-F238E27FC236}">
              <a16:creationId xmlns:a16="http://schemas.microsoft.com/office/drawing/2014/main" id="{00000000-0008-0000-3200-00005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4" name="Option Button 1373">
          <a:extLst>
            <a:ext uri="{FF2B5EF4-FFF2-40B4-BE49-F238E27FC236}">
              <a16:creationId xmlns:a16="http://schemas.microsoft.com/office/drawing/2014/main" id="{00000000-0008-0000-3200-00005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5" name="Option Button 1374">
          <a:extLst>
            <a:ext uri="{FF2B5EF4-FFF2-40B4-BE49-F238E27FC236}">
              <a16:creationId xmlns:a16="http://schemas.microsoft.com/office/drawing/2014/main" id="{00000000-0008-0000-3200-00005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6" name="Group Box 1375" descr="Group Box 5">
          <a:extLst>
            <a:ext uri="{FF2B5EF4-FFF2-40B4-BE49-F238E27FC236}">
              <a16:creationId xmlns:a16="http://schemas.microsoft.com/office/drawing/2014/main" id="{00000000-0008-0000-3200-000060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295</xdr:row>
      <xdr:rowOff>28440</xdr:rowOff>
    </xdr:from>
    <xdr:to>
      <xdr:col>7</xdr:col>
      <xdr:colOff>-363960</xdr:colOff>
      <xdr:row>296</xdr:row>
      <xdr:rowOff>0</xdr:rowOff>
    </xdr:to>
    <xdr:sp macro="" textlink="">
      <xdr:nvSpPr>
        <xdr:cNvPr id="1377" name="Option Button 1376">
          <a:extLst>
            <a:ext uri="{FF2B5EF4-FFF2-40B4-BE49-F238E27FC236}">
              <a16:creationId xmlns:a16="http://schemas.microsoft.com/office/drawing/2014/main" id="{00000000-0008-0000-3200-00006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8" name="Option Button 1377">
          <a:extLst>
            <a:ext uri="{FF2B5EF4-FFF2-40B4-BE49-F238E27FC236}">
              <a16:creationId xmlns:a16="http://schemas.microsoft.com/office/drawing/2014/main" id="{00000000-0008-0000-3200-00006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9" name="Option Button 1378">
          <a:extLst>
            <a:ext uri="{FF2B5EF4-FFF2-40B4-BE49-F238E27FC236}">
              <a16:creationId xmlns:a16="http://schemas.microsoft.com/office/drawing/2014/main" id="{00000000-0008-0000-3200-00006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0" name="Option Button 1379">
          <a:extLst>
            <a:ext uri="{FF2B5EF4-FFF2-40B4-BE49-F238E27FC236}">
              <a16:creationId xmlns:a16="http://schemas.microsoft.com/office/drawing/2014/main" id="{00000000-0008-0000-3200-00006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1" name="Group Box 1380" descr="Group Box 5">
          <a:extLst>
            <a:ext uri="{FF2B5EF4-FFF2-40B4-BE49-F238E27FC236}">
              <a16:creationId xmlns:a16="http://schemas.microsoft.com/office/drawing/2014/main" id="{00000000-0008-0000-3200-000065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296</xdr:row>
      <xdr:rowOff>28440</xdr:rowOff>
    </xdr:from>
    <xdr:to>
      <xdr:col>7</xdr:col>
      <xdr:colOff>-363960</xdr:colOff>
      <xdr:row>297</xdr:row>
      <xdr:rowOff>0</xdr:rowOff>
    </xdr:to>
    <xdr:sp macro="" textlink="">
      <xdr:nvSpPr>
        <xdr:cNvPr id="1382" name="Option Button 1381">
          <a:extLst>
            <a:ext uri="{FF2B5EF4-FFF2-40B4-BE49-F238E27FC236}">
              <a16:creationId xmlns:a16="http://schemas.microsoft.com/office/drawing/2014/main" id="{00000000-0008-0000-3200-00006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3" name="Option Button 1382">
          <a:extLst>
            <a:ext uri="{FF2B5EF4-FFF2-40B4-BE49-F238E27FC236}">
              <a16:creationId xmlns:a16="http://schemas.microsoft.com/office/drawing/2014/main" id="{00000000-0008-0000-3200-00006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4" name="Option Button 1383">
          <a:extLst>
            <a:ext uri="{FF2B5EF4-FFF2-40B4-BE49-F238E27FC236}">
              <a16:creationId xmlns:a16="http://schemas.microsoft.com/office/drawing/2014/main" id="{00000000-0008-0000-3200-00006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5" name="Option Button 1384">
          <a:extLst>
            <a:ext uri="{FF2B5EF4-FFF2-40B4-BE49-F238E27FC236}">
              <a16:creationId xmlns:a16="http://schemas.microsoft.com/office/drawing/2014/main" id="{00000000-0008-0000-3200-00006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6" name="Group Box 1385" descr="Group Box 5">
          <a:extLst>
            <a:ext uri="{FF2B5EF4-FFF2-40B4-BE49-F238E27FC236}">
              <a16:creationId xmlns:a16="http://schemas.microsoft.com/office/drawing/2014/main" id="{00000000-0008-0000-3200-00006A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297</xdr:row>
      <xdr:rowOff>28440</xdr:rowOff>
    </xdr:from>
    <xdr:to>
      <xdr:col>7</xdr:col>
      <xdr:colOff>-363960</xdr:colOff>
      <xdr:row>298</xdr:row>
      <xdr:rowOff>0</xdr:rowOff>
    </xdr:to>
    <xdr:sp macro="" textlink="">
      <xdr:nvSpPr>
        <xdr:cNvPr id="1387" name="Option Button 1386">
          <a:extLst>
            <a:ext uri="{FF2B5EF4-FFF2-40B4-BE49-F238E27FC236}">
              <a16:creationId xmlns:a16="http://schemas.microsoft.com/office/drawing/2014/main" id="{00000000-0008-0000-3200-00006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8" name="Option Button 1387">
          <a:extLst>
            <a:ext uri="{FF2B5EF4-FFF2-40B4-BE49-F238E27FC236}">
              <a16:creationId xmlns:a16="http://schemas.microsoft.com/office/drawing/2014/main" id="{00000000-0008-0000-3200-00006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9" name="Option Button 1388">
          <a:extLst>
            <a:ext uri="{FF2B5EF4-FFF2-40B4-BE49-F238E27FC236}">
              <a16:creationId xmlns:a16="http://schemas.microsoft.com/office/drawing/2014/main" id="{00000000-0008-0000-3200-00006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0" name="Option Button 1389">
          <a:extLst>
            <a:ext uri="{FF2B5EF4-FFF2-40B4-BE49-F238E27FC236}">
              <a16:creationId xmlns:a16="http://schemas.microsoft.com/office/drawing/2014/main" id="{00000000-0008-0000-3200-00006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1" name="Group Box 1390" descr="Group Box 5">
          <a:extLst>
            <a:ext uri="{FF2B5EF4-FFF2-40B4-BE49-F238E27FC236}">
              <a16:creationId xmlns:a16="http://schemas.microsoft.com/office/drawing/2014/main" id="{00000000-0008-0000-3200-00006F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298</xdr:row>
      <xdr:rowOff>28440</xdr:rowOff>
    </xdr:from>
    <xdr:to>
      <xdr:col>7</xdr:col>
      <xdr:colOff>-363960</xdr:colOff>
      <xdr:row>299</xdr:row>
      <xdr:rowOff>0</xdr:rowOff>
    </xdr:to>
    <xdr:sp macro="" textlink="">
      <xdr:nvSpPr>
        <xdr:cNvPr id="1392" name="Option Button 1391">
          <a:extLst>
            <a:ext uri="{FF2B5EF4-FFF2-40B4-BE49-F238E27FC236}">
              <a16:creationId xmlns:a16="http://schemas.microsoft.com/office/drawing/2014/main" id="{00000000-0008-0000-3200-00007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3" name="Option Button 1392">
          <a:extLst>
            <a:ext uri="{FF2B5EF4-FFF2-40B4-BE49-F238E27FC236}">
              <a16:creationId xmlns:a16="http://schemas.microsoft.com/office/drawing/2014/main" id="{00000000-0008-0000-3200-00007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4" name="Option Button 1393">
          <a:extLst>
            <a:ext uri="{FF2B5EF4-FFF2-40B4-BE49-F238E27FC236}">
              <a16:creationId xmlns:a16="http://schemas.microsoft.com/office/drawing/2014/main" id="{00000000-0008-0000-3200-00007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5" name="Option Button 1394">
          <a:extLst>
            <a:ext uri="{FF2B5EF4-FFF2-40B4-BE49-F238E27FC236}">
              <a16:creationId xmlns:a16="http://schemas.microsoft.com/office/drawing/2014/main" id="{00000000-0008-0000-3200-00007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6" name="Group Box 1395" descr="Group Box 5">
          <a:extLst>
            <a:ext uri="{FF2B5EF4-FFF2-40B4-BE49-F238E27FC236}">
              <a16:creationId xmlns:a16="http://schemas.microsoft.com/office/drawing/2014/main" id="{00000000-0008-0000-3200-000074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299</xdr:row>
      <xdr:rowOff>28440</xdr:rowOff>
    </xdr:from>
    <xdr:to>
      <xdr:col>7</xdr:col>
      <xdr:colOff>-363960</xdr:colOff>
      <xdr:row>300</xdr:row>
      <xdr:rowOff>0</xdr:rowOff>
    </xdr:to>
    <xdr:sp macro="" textlink="">
      <xdr:nvSpPr>
        <xdr:cNvPr id="1397" name="Option Button 1396">
          <a:extLst>
            <a:ext uri="{FF2B5EF4-FFF2-40B4-BE49-F238E27FC236}">
              <a16:creationId xmlns:a16="http://schemas.microsoft.com/office/drawing/2014/main" id="{00000000-0008-0000-3200-00007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8" name="Option Button 1397">
          <a:extLst>
            <a:ext uri="{FF2B5EF4-FFF2-40B4-BE49-F238E27FC236}">
              <a16:creationId xmlns:a16="http://schemas.microsoft.com/office/drawing/2014/main" id="{00000000-0008-0000-3200-00007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9" name="Option Button 1398">
          <a:extLst>
            <a:ext uri="{FF2B5EF4-FFF2-40B4-BE49-F238E27FC236}">
              <a16:creationId xmlns:a16="http://schemas.microsoft.com/office/drawing/2014/main" id="{00000000-0008-0000-3200-00007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0" name="Option Button 1399">
          <a:extLst>
            <a:ext uri="{FF2B5EF4-FFF2-40B4-BE49-F238E27FC236}">
              <a16:creationId xmlns:a16="http://schemas.microsoft.com/office/drawing/2014/main" id="{00000000-0008-0000-3200-00007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1" name="Group Box 1400" descr="Group Box 5">
          <a:extLst>
            <a:ext uri="{FF2B5EF4-FFF2-40B4-BE49-F238E27FC236}">
              <a16:creationId xmlns:a16="http://schemas.microsoft.com/office/drawing/2014/main" id="{00000000-0008-0000-3200-000079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300</xdr:row>
      <xdr:rowOff>28440</xdr:rowOff>
    </xdr:from>
    <xdr:to>
      <xdr:col>7</xdr:col>
      <xdr:colOff>-363960</xdr:colOff>
      <xdr:row>301</xdr:row>
      <xdr:rowOff>0</xdr:rowOff>
    </xdr:to>
    <xdr:sp macro="" textlink="">
      <xdr:nvSpPr>
        <xdr:cNvPr id="1402" name="Option Button 1401">
          <a:extLst>
            <a:ext uri="{FF2B5EF4-FFF2-40B4-BE49-F238E27FC236}">
              <a16:creationId xmlns:a16="http://schemas.microsoft.com/office/drawing/2014/main" id="{00000000-0008-0000-3200-00007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3" name="Option Button 1402">
          <a:extLst>
            <a:ext uri="{FF2B5EF4-FFF2-40B4-BE49-F238E27FC236}">
              <a16:creationId xmlns:a16="http://schemas.microsoft.com/office/drawing/2014/main" id="{00000000-0008-0000-3200-00007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4" name="Option Button 1403">
          <a:extLst>
            <a:ext uri="{FF2B5EF4-FFF2-40B4-BE49-F238E27FC236}">
              <a16:creationId xmlns:a16="http://schemas.microsoft.com/office/drawing/2014/main" id="{00000000-0008-0000-3200-00007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5" name="Option Button 1404">
          <a:extLst>
            <a:ext uri="{FF2B5EF4-FFF2-40B4-BE49-F238E27FC236}">
              <a16:creationId xmlns:a16="http://schemas.microsoft.com/office/drawing/2014/main" id="{00000000-0008-0000-3200-00007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6" name="Group Box 1405" descr="Group Box 5">
          <a:extLst>
            <a:ext uri="{FF2B5EF4-FFF2-40B4-BE49-F238E27FC236}">
              <a16:creationId xmlns:a16="http://schemas.microsoft.com/office/drawing/2014/main" id="{00000000-0008-0000-3200-00007E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301</xdr:row>
      <xdr:rowOff>28440</xdr:rowOff>
    </xdr:from>
    <xdr:to>
      <xdr:col>7</xdr:col>
      <xdr:colOff>-363960</xdr:colOff>
      <xdr:row>302</xdr:row>
      <xdr:rowOff>0</xdr:rowOff>
    </xdr:to>
    <xdr:sp macro="" textlink="">
      <xdr:nvSpPr>
        <xdr:cNvPr id="1407" name="Option Button 1406">
          <a:extLst>
            <a:ext uri="{FF2B5EF4-FFF2-40B4-BE49-F238E27FC236}">
              <a16:creationId xmlns:a16="http://schemas.microsoft.com/office/drawing/2014/main" id="{00000000-0008-0000-3200-00007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8" name="Option Button 1407">
          <a:extLst>
            <a:ext uri="{FF2B5EF4-FFF2-40B4-BE49-F238E27FC236}">
              <a16:creationId xmlns:a16="http://schemas.microsoft.com/office/drawing/2014/main" id="{00000000-0008-0000-3200-00008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9" name="Option Button 1408">
          <a:extLst>
            <a:ext uri="{FF2B5EF4-FFF2-40B4-BE49-F238E27FC236}">
              <a16:creationId xmlns:a16="http://schemas.microsoft.com/office/drawing/2014/main" id="{00000000-0008-0000-3200-00008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0" name="Option Button 1409">
          <a:extLst>
            <a:ext uri="{FF2B5EF4-FFF2-40B4-BE49-F238E27FC236}">
              <a16:creationId xmlns:a16="http://schemas.microsoft.com/office/drawing/2014/main" id="{00000000-0008-0000-3200-00008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1" name="Group Box 1410" descr="Group Box 5">
          <a:extLst>
            <a:ext uri="{FF2B5EF4-FFF2-40B4-BE49-F238E27FC236}">
              <a16:creationId xmlns:a16="http://schemas.microsoft.com/office/drawing/2014/main" id="{00000000-0008-0000-3200-000083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302</xdr:row>
      <xdr:rowOff>28440</xdr:rowOff>
    </xdr:from>
    <xdr:to>
      <xdr:col>7</xdr:col>
      <xdr:colOff>-363960</xdr:colOff>
      <xdr:row>303</xdr:row>
      <xdr:rowOff>0</xdr:rowOff>
    </xdr:to>
    <xdr:sp macro="" textlink="">
      <xdr:nvSpPr>
        <xdr:cNvPr id="1412" name="Option Button 1411">
          <a:extLst>
            <a:ext uri="{FF2B5EF4-FFF2-40B4-BE49-F238E27FC236}">
              <a16:creationId xmlns:a16="http://schemas.microsoft.com/office/drawing/2014/main" id="{00000000-0008-0000-3200-00008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3" name="Option Button 1412">
          <a:extLst>
            <a:ext uri="{FF2B5EF4-FFF2-40B4-BE49-F238E27FC236}">
              <a16:creationId xmlns:a16="http://schemas.microsoft.com/office/drawing/2014/main" id="{00000000-0008-0000-3200-00008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4" name="Option Button 1413">
          <a:extLst>
            <a:ext uri="{FF2B5EF4-FFF2-40B4-BE49-F238E27FC236}">
              <a16:creationId xmlns:a16="http://schemas.microsoft.com/office/drawing/2014/main" id="{00000000-0008-0000-3200-00008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5" name="Option Button 1414">
          <a:extLst>
            <a:ext uri="{FF2B5EF4-FFF2-40B4-BE49-F238E27FC236}">
              <a16:creationId xmlns:a16="http://schemas.microsoft.com/office/drawing/2014/main" id="{00000000-0008-0000-3200-00008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6" name="Group Box 1415" descr="Group Box 5">
          <a:extLst>
            <a:ext uri="{FF2B5EF4-FFF2-40B4-BE49-F238E27FC236}">
              <a16:creationId xmlns:a16="http://schemas.microsoft.com/office/drawing/2014/main" id="{00000000-0008-0000-3200-000088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303</xdr:row>
      <xdr:rowOff>28440</xdr:rowOff>
    </xdr:from>
    <xdr:to>
      <xdr:col>7</xdr:col>
      <xdr:colOff>-363960</xdr:colOff>
      <xdr:row>304</xdr:row>
      <xdr:rowOff>0</xdr:rowOff>
    </xdr:to>
    <xdr:sp macro="" textlink="">
      <xdr:nvSpPr>
        <xdr:cNvPr id="1417" name="Option Button 1416">
          <a:extLst>
            <a:ext uri="{FF2B5EF4-FFF2-40B4-BE49-F238E27FC236}">
              <a16:creationId xmlns:a16="http://schemas.microsoft.com/office/drawing/2014/main" id="{00000000-0008-0000-3200-00008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8" name="Option Button 1417">
          <a:extLst>
            <a:ext uri="{FF2B5EF4-FFF2-40B4-BE49-F238E27FC236}">
              <a16:creationId xmlns:a16="http://schemas.microsoft.com/office/drawing/2014/main" id="{00000000-0008-0000-3200-00008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9" name="Option Button 1418">
          <a:extLst>
            <a:ext uri="{FF2B5EF4-FFF2-40B4-BE49-F238E27FC236}">
              <a16:creationId xmlns:a16="http://schemas.microsoft.com/office/drawing/2014/main" id="{00000000-0008-0000-3200-00008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0" name="Option Button 1419">
          <a:extLst>
            <a:ext uri="{FF2B5EF4-FFF2-40B4-BE49-F238E27FC236}">
              <a16:creationId xmlns:a16="http://schemas.microsoft.com/office/drawing/2014/main" id="{00000000-0008-0000-3200-00008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1" name="Group Box 1420" descr="Group Box 5">
          <a:extLst>
            <a:ext uri="{FF2B5EF4-FFF2-40B4-BE49-F238E27FC236}">
              <a16:creationId xmlns:a16="http://schemas.microsoft.com/office/drawing/2014/main" id="{00000000-0008-0000-3200-00008D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304</xdr:row>
      <xdr:rowOff>28440</xdr:rowOff>
    </xdr:from>
    <xdr:to>
      <xdr:col>7</xdr:col>
      <xdr:colOff>-363960</xdr:colOff>
      <xdr:row>305</xdr:row>
      <xdr:rowOff>0</xdr:rowOff>
    </xdr:to>
    <xdr:sp macro="" textlink="">
      <xdr:nvSpPr>
        <xdr:cNvPr id="1422" name="Option Button 1421">
          <a:extLst>
            <a:ext uri="{FF2B5EF4-FFF2-40B4-BE49-F238E27FC236}">
              <a16:creationId xmlns:a16="http://schemas.microsoft.com/office/drawing/2014/main" id="{00000000-0008-0000-3200-00008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3" name="Option Button 1422">
          <a:extLst>
            <a:ext uri="{FF2B5EF4-FFF2-40B4-BE49-F238E27FC236}">
              <a16:creationId xmlns:a16="http://schemas.microsoft.com/office/drawing/2014/main" id="{00000000-0008-0000-3200-00008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4" name="Option Button 1423">
          <a:extLst>
            <a:ext uri="{FF2B5EF4-FFF2-40B4-BE49-F238E27FC236}">
              <a16:creationId xmlns:a16="http://schemas.microsoft.com/office/drawing/2014/main" id="{00000000-0008-0000-3200-00009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5" name="Option Button 1424">
          <a:extLst>
            <a:ext uri="{FF2B5EF4-FFF2-40B4-BE49-F238E27FC236}">
              <a16:creationId xmlns:a16="http://schemas.microsoft.com/office/drawing/2014/main" id="{00000000-0008-0000-3200-00009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6" name="Group Box 1425" descr="Group Box 5">
          <a:extLst>
            <a:ext uri="{FF2B5EF4-FFF2-40B4-BE49-F238E27FC236}">
              <a16:creationId xmlns:a16="http://schemas.microsoft.com/office/drawing/2014/main" id="{00000000-0008-0000-3200-000092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305</xdr:row>
      <xdr:rowOff>28440</xdr:rowOff>
    </xdr:from>
    <xdr:to>
      <xdr:col>7</xdr:col>
      <xdr:colOff>-363960</xdr:colOff>
      <xdr:row>306</xdr:row>
      <xdr:rowOff>0</xdr:rowOff>
    </xdr:to>
    <xdr:sp macro="" textlink="">
      <xdr:nvSpPr>
        <xdr:cNvPr id="1427" name="Option Button 1426">
          <a:extLst>
            <a:ext uri="{FF2B5EF4-FFF2-40B4-BE49-F238E27FC236}">
              <a16:creationId xmlns:a16="http://schemas.microsoft.com/office/drawing/2014/main" id="{00000000-0008-0000-3200-00009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8" name="Option Button 1427">
          <a:extLst>
            <a:ext uri="{FF2B5EF4-FFF2-40B4-BE49-F238E27FC236}">
              <a16:creationId xmlns:a16="http://schemas.microsoft.com/office/drawing/2014/main" id="{00000000-0008-0000-3200-00009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9" name="Option Button 1428">
          <a:extLst>
            <a:ext uri="{FF2B5EF4-FFF2-40B4-BE49-F238E27FC236}">
              <a16:creationId xmlns:a16="http://schemas.microsoft.com/office/drawing/2014/main" id="{00000000-0008-0000-3200-00009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0" name="Option Button 1429">
          <a:extLst>
            <a:ext uri="{FF2B5EF4-FFF2-40B4-BE49-F238E27FC236}">
              <a16:creationId xmlns:a16="http://schemas.microsoft.com/office/drawing/2014/main" id="{00000000-0008-0000-3200-00009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1" name="Group Box 1430" descr="Group Box 5">
          <a:extLst>
            <a:ext uri="{FF2B5EF4-FFF2-40B4-BE49-F238E27FC236}">
              <a16:creationId xmlns:a16="http://schemas.microsoft.com/office/drawing/2014/main" id="{00000000-0008-0000-3200-000097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306</xdr:row>
      <xdr:rowOff>28440</xdr:rowOff>
    </xdr:from>
    <xdr:to>
      <xdr:col>7</xdr:col>
      <xdr:colOff>-363960</xdr:colOff>
      <xdr:row>307</xdr:row>
      <xdr:rowOff>0</xdr:rowOff>
    </xdr:to>
    <xdr:sp macro="" textlink="">
      <xdr:nvSpPr>
        <xdr:cNvPr id="1432" name="Option Button 1431">
          <a:extLst>
            <a:ext uri="{FF2B5EF4-FFF2-40B4-BE49-F238E27FC236}">
              <a16:creationId xmlns:a16="http://schemas.microsoft.com/office/drawing/2014/main" id="{00000000-0008-0000-3200-00009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3" name="Option Button 1432">
          <a:extLst>
            <a:ext uri="{FF2B5EF4-FFF2-40B4-BE49-F238E27FC236}">
              <a16:creationId xmlns:a16="http://schemas.microsoft.com/office/drawing/2014/main" id="{00000000-0008-0000-3200-00009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4" name="Option Button 1433">
          <a:extLst>
            <a:ext uri="{FF2B5EF4-FFF2-40B4-BE49-F238E27FC236}">
              <a16:creationId xmlns:a16="http://schemas.microsoft.com/office/drawing/2014/main" id="{00000000-0008-0000-3200-00009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5" name="Option Button 1434">
          <a:extLst>
            <a:ext uri="{FF2B5EF4-FFF2-40B4-BE49-F238E27FC236}">
              <a16:creationId xmlns:a16="http://schemas.microsoft.com/office/drawing/2014/main" id="{00000000-0008-0000-3200-00009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6" name="Group Box 1435" descr="Group Box 5">
          <a:extLst>
            <a:ext uri="{FF2B5EF4-FFF2-40B4-BE49-F238E27FC236}">
              <a16:creationId xmlns:a16="http://schemas.microsoft.com/office/drawing/2014/main" id="{00000000-0008-0000-3200-00009C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307</xdr:row>
      <xdr:rowOff>28440</xdr:rowOff>
    </xdr:from>
    <xdr:to>
      <xdr:col>7</xdr:col>
      <xdr:colOff>-363960</xdr:colOff>
      <xdr:row>308</xdr:row>
      <xdr:rowOff>0</xdr:rowOff>
    </xdr:to>
    <xdr:sp macro="" textlink="">
      <xdr:nvSpPr>
        <xdr:cNvPr id="1437" name="Option Button 1436">
          <a:extLst>
            <a:ext uri="{FF2B5EF4-FFF2-40B4-BE49-F238E27FC236}">
              <a16:creationId xmlns:a16="http://schemas.microsoft.com/office/drawing/2014/main" id="{00000000-0008-0000-3200-00009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8" name="Option Button 1437">
          <a:extLst>
            <a:ext uri="{FF2B5EF4-FFF2-40B4-BE49-F238E27FC236}">
              <a16:creationId xmlns:a16="http://schemas.microsoft.com/office/drawing/2014/main" id="{00000000-0008-0000-3200-00009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9" name="Option Button 1438">
          <a:extLst>
            <a:ext uri="{FF2B5EF4-FFF2-40B4-BE49-F238E27FC236}">
              <a16:creationId xmlns:a16="http://schemas.microsoft.com/office/drawing/2014/main" id="{00000000-0008-0000-3200-00009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0" name="Option Button 1439">
          <a:extLst>
            <a:ext uri="{FF2B5EF4-FFF2-40B4-BE49-F238E27FC236}">
              <a16:creationId xmlns:a16="http://schemas.microsoft.com/office/drawing/2014/main" id="{00000000-0008-0000-3200-0000A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1" name="Group Box 1440" descr="Group Box 5">
          <a:extLst>
            <a:ext uri="{FF2B5EF4-FFF2-40B4-BE49-F238E27FC236}">
              <a16:creationId xmlns:a16="http://schemas.microsoft.com/office/drawing/2014/main" id="{00000000-0008-0000-3200-0000A1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308</xdr:row>
      <xdr:rowOff>28440</xdr:rowOff>
    </xdr:from>
    <xdr:to>
      <xdr:col>7</xdr:col>
      <xdr:colOff>-363960</xdr:colOff>
      <xdr:row>309</xdr:row>
      <xdr:rowOff>0</xdr:rowOff>
    </xdr:to>
    <xdr:sp macro="" textlink="">
      <xdr:nvSpPr>
        <xdr:cNvPr id="1442" name="Option Button 1441">
          <a:extLst>
            <a:ext uri="{FF2B5EF4-FFF2-40B4-BE49-F238E27FC236}">
              <a16:creationId xmlns:a16="http://schemas.microsoft.com/office/drawing/2014/main" id="{00000000-0008-0000-3200-0000A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3" name="Option Button 1442">
          <a:extLst>
            <a:ext uri="{FF2B5EF4-FFF2-40B4-BE49-F238E27FC236}">
              <a16:creationId xmlns:a16="http://schemas.microsoft.com/office/drawing/2014/main" id="{00000000-0008-0000-3200-0000A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4" name="Option Button 1443">
          <a:extLst>
            <a:ext uri="{FF2B5EF4-FFF2-40B4-BE49-F238E27FC236}">
              <a16:creationId xmlns:a16="http://schemas.microsoft.com/office/drawing/2014/main" id="{00000000-0008-0000-3200-0000A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5" name="Option Button 1444">
          <a:extLst>
            <a:ext uri="{FF2B5EF4-FFF2-40B4-BE49-F238E27FC236}">
              <a16:creationId xmlns:a16="http://schemas.microsoft.com/office/drawing/2014/main" id="{00000000-0008-0000-3200-0000A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6" name="Group Box 1445" descr="Group Box 5">
          <a:extLst>
            <a:ext uri="{FF2B5EF4-FFF2-40B4-BE49-F238E27FC236}">
              <a16:creationId xmlns:a16="http://schemas.microsoft.com/office/drawing/2014/main" id="{00000000-0008-0000-3200-0000A6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309</xdr:row>
      <xdr:rowOff>28440</xdr:rowOff>
    </xdr:from>
    <xdr:to>
      <xdr:col>7</xdr:col>
      <xdr:colOff>-363960</xdr:colOff>
      <xdr:row>310</xdr:row>
      <xdr:rowOff>0</xdr:rowOff>
    </xdr:to>
    <xdr:sp macro="" textlink="">
      <xdr:nvSpPr>
        <xdr:cNvPr id="1447" name="Option Button 1446">
          <a:extLst>
            <a:ext uri="{FF2B5EF4-FFF2-40B4-BE49-F238E27FC236}">
              <a16:creationId xmlns:a16="http://schemas.microsoft.com/office/drawing/2014/main" id="{00000000-0008-0000-3200-0000A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8" name="Option Button 1447">
          <a:extLst>
            <a:ext uri="{FF2B5EF4-FFF2-40B4-BE49-F238E27FC236}">
              <a16:creationId xmlns:a16="http://schemas.microsoft.com/office/drawing/2014/main" id="{00000000-0008-0000-3200-0000A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9" name="Option Button 1448">
          <a:extLst>
            <a:ext uri="{FF2B5EF4-FFF2-40B4-BE49-F238E27FC236}">
              <a16:creationId xmlns:a16="http://schemas.microsoft.com/office/drawing/2014/main" id="{00000000-0008-0000-3200-0000A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0" name="Option Button 1449">
          <a:extLst>
            <a:ext uri="{FF2B5EF4-FFF2-40B4-BE49-F238E27FC236}">
              <a16:creationId xmlns:a16="http://schemas.microsoft.com/office/drawing/2014/main" id="{00000000-0008-0000-3200-0000A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1" name="Group Box 1450" descr="Group Box 5">
          <a:extLst>
            <a:ext uri="{FF2B5EF4-FFF2-40B4-BE49-F238E27FC236}">
              <a16:creationId xmlns:a16="http://schemas.microsoft.com/office/drawing/2014/main" id="{00000000-0008-0000-3200-0000AB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310</xdr:row>
      <xdr:rowOff>28440</xdr:rowOff>
    </xdr:from>
    <xdr:to>
      <xdr:col>7</xdr:col>
      <xdr:colOff>-363960</xdr:colOff>
      <xdr:row>311</xdr:row>
      <xdr:rowOff>0</xdr:rowOff>
    </xdr:to>
    <xdr:sp macro="" textlink="">
      <xdr:nvSpPr>
        <xdr:cNvPr id="1452" name="Option Button 1451">
          <a:extLst>
            <a:ext uri="{FF2B5EF4-FFF2-40B4-BE49-F238E27FC236}">
              <a16:creationId xmlns:a16="http://schemas.microsoft.com/office/drawing/2014/main" id="{00000000-0008-0000-3200-0000A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3" name="Option Button 1452">
          <a:extLst>
            <a:ext uri="{FF2B5EF4-FFF2-40B4-BE49-F238E27FC236}">
              <a16:creationId xmlns:a16="http://schemas.microsoft.com/office/drawing/2014/main" id="{00000000-0008-0000-3200-0000A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4" name="Option Button 1453">
          <a:extLst>
            <a:ext uri="{FF2B5EF4-FFF2-40B4-BE49-F238E27FC236}">
              <a16:creationId xmlns:a16="http://schemas.microsoft.com/office/drawing/2014/main" id="{00000000-0008-0000-3200-0000A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5" name="Option Button 1454">
          <a:extLst>
            <a:ext uri="{FF2B5EF4-FFF2-40B4-BE49-F238E27FC236}">
              <a16:creationId xmlns:a16="http://schemas.microsoft.com/office/drawing/2014/main" id="{00000000-0008-0000-3200-0000A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6" name="Group Box 1455" descr="Group Box 5">
          <a:extLst>
            <a:ext uri="{FF2B5EF4-FFF2-40B4-BE49-F238E27FC236}">
              <a16:creationId xmlns:a16="http://schemas.microsoft.com/office/drawing/2014/main" id="{00000000-0008-0000-3200-0000B0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311</xdr:row>
      <xdr:rowOff>28440</xdr:rowOff>
    </xdr:from>
    <xdr:to>
      <xdr:col>7</xdr:col>
      <xdr:colOff>-363960</xdr:colOff>
      <xdr:row>312</xdr:row>
      <xdr:rowOff>0</xdr:rowOff>
    </xdr:to>
    <xdr:sp macro="" textlink="">
      <xdr:nvSpPr>
        <xdr:cNvPr id="1457" name="Option Button 1456">
          <a:extLst>
            <a:ext uri="{FF2B5EF4-FFF2-40B4-BE49-F238E27FC236}">
              <a16:creationId xmlns:a16="http://schemas.microsoft.com/office/drawing/2014/main" id="{00000000-0008-0000-3200-0000B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8" name="Option Button 1457">
          <a:extLst>
            <a:ext uri="{FF2B5EF4-FFF2-40B4-BE49-F238E27FC236}">
              <a16:creationId xmlns:a16="http://schemas.microsoft.com/office/drawing/2014/main" id="{00000000-0008-0000-3200-0000B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9" name="Option Button 1458">
          <a:extLst>
            <a:ext uri="{FF2B5EF4-FFF2-40B4-BE49-F238E27FC236}">
              <a16:creationId xmlns:a16="http://schemas.microsoft.com/office/drawing/2014/main" id="{00000000-0008-0000-3200-0000B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0" name="Option Button 1459">
          <a:extLst>
            <a:ext uri="{FF2B5EF4-FFF2-40B4-BE49-F238E27FC236}">
              <a16:creationId xmlns:a16="http://schemas.microsoft.com/office/drawing/2014/main" id="{00000000-0008-0000-3200-0000B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1" name="Group Box 1460" descr="Group Box 5">
          <a:extLst>
            <a:ext uri="{FF2B5EF4-FFF2-40B4-BE49-F238E27FC236}">
              <a16:creationId xmlns:a16="http://schemas.microsoft.com/office/drawing/2014/main" id="{00000000-0008-0000-3200-0000B5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312</xdr:row>
      <xdr:rowOff>28440</xdr:rowOff>
    </xdr:from>
    <xdr:to>
      <xdr:col>7</xdr:col>
      <xdr:colOff>-363960</xdr:colOff>
      <xdr:row>313</xdr:row>
      <xdr:rowOff>0</xdr:rowOff>
    </xdr:to>
    <xdr:sp macro="" textlink="">
      <xdr:nvSpPr>
        <xdr:cNvPr id="1462" name="Option Button 1461">
          <a:extLst>
            <a:ext uri="{FF2B5EF4-FFF2-40B4-BE49-F238E27FC236}">
              <a16:creationId xmlns:a16="http://schemas.microsoft.com/office/drawing/2014/main" id="{00000000-0008-0000-3200-0000B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3" name="Option Button 1462">
          <a:extLst>
            <a:ext uri="{FF2B5EF4-FFF2-40B4-BE49-F238E27FC236}">
              <a16:creationId xmlns:a16="http://schemas.microsoft.com/office/drawing/2014/main" id="{00000000-0008-0000-3200-0000B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4" name="Option Button 1463">
          <a:extLst>
            <a:ext uri="{FF2B5EF4-FFF2-40B4-BE49-F238E27FC236}">
              <a16:creationId xmlns:a16="http://schemas.microsoft.com/office/drawing/2014/main" id="{00000000-0008-0000-3200-0000B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5" name="Option Button 1464">
          <a:extLst>
            <a:ext uri="{FF2B5EF4-FFF2-40B4-BE49-F238E27FC236}">
              <a16:creationId xmlns:a16="http://schemas.microsoft.com/office/drawing/2014/main" id="{00000000-0008-0000-3200-0000B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6" name="Group Box 1465" descr="Group Box 5">
          <a:extLst>
            <a:ext uri="{FF2B5EF4-FFF2-40B4-BE49-F238E27FC236}">
              <a16:creationId xmlns:a16="http://schemas.microsoft.com/office/drawing/2014/main" id="{00000000-0008-0000-3200-0000BA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313</xdr:row>
      <xdr:rowOff>28440</xdr:rowOff>
    </xdr:from>
    <xdr:to>
      <xdr:col>7</xdr:col>
      <xdr:colOff>-363960</xdr:colOff>
      <xdr:row>314</xdr:row>
      <xdr:rowOff>0</xdr:rowOff>
    </xdr:to>
    <xdr:sp macro="" textlink="">
      <xdr:nvSpPr>
        <xdr:cNvPr id="1467" name="Option Button 1466">
          <a:extLst>
            <a:ext uri="{FF2B5EF4-FFF2-40B4-BE49-F238E27FC236}">
              <a16:creationId xmlns:a16="http://schemas.microsoft.com/office/drawing/2014/main" id="{00000000-0008-0000-3200-0000B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8" name="Option Button 1467">
          <a:extLst>
            <a:ext uri="{FF2B5EF4-FFF2-40B4-BE49-F238E27FC236}">
              <a16:creationId xmlns:a16="http://schemas.microsoft.com/office/drawing/2014/main" id="{00000000-0008-0000-3200-0000B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9" name="Option Button 1468">
          <a:extLst>
            <a:ext uri="{FF2B5EF4-FFF2-40B4-BE49-F238E27FC236}">
              <a16:creationId xmlns:a16="http://schemas.microsoft.com/office/drawing/2014/main" id="{00000000-0008-0000-3200-0000B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0" name="Option Button 1469">
          <a:extLst>
            <a:ext uri="{FF2B5EF4-FFF2-40B4-BE49-F238E27FC236}">
              <a16:creationId xmlns:a16="http://schemas.microsoft.com/office/drawing/2014/main" id="{00000000-0008-0000-3200-0000B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1" name="Group Box 1470" descr="Group Box 5">
          <a:extLst>
            <a:ext uri="{FF2B5EF4-FFF2-40B4-BE49-F238E27FC236}">
              <a16:creationId xmlns:a16="http://schemas.microsoft.com/office/drawing/2014/main" id="{00000000-0008-0000-3200-0000BF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314</xdr:row>
      <xdr:rowOff>28440</xdr:rowOff>
    </xdr:from>
    <xdr:to>
      <xdr:col>7</xdr:col>
      <xdr:colOff>-363960</xdr:colOff>
      <xdr:row>315</xdr:row>
      <xdr:rowOff>0</xdr:rowOff>
    </xdr:to>
    <xdr:sp macro="" textlink="">
      <xdr:nvSpPr>
        <xdr:cNvPr id="1472" name="Option Button 1471">
          <a:extLst>
            <a:ext uri="{FF2B5EF4-FFF2-40B4-BE49-F238E27FC236}">
              <a16:creationId xmlns:a16="http://schemas.microsoft.com/office/drawing/2014/main" id="{00000000-0008-0000-3200-0000C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3" name="Option Button 1472">
          <a:extLst>
            <a:ext uri="{FF2B5EF4-FFF2-40B4-BE49-F238E27FC236}">
              <a16:creationId xmlns:a16="http://schemas.microsoft.com/office/drawing/2014/main" id="{00000000-0008-0000-3200-0000C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4" name="Option Button 1473">
          <a:extLst>
            <a:ext uri="{FF2B5EF4-FFF2-40B4-BE49-F238E27FC236}">
              <a16:creationId xmlns:a16="http://schemas.microsoft.com/office/drawing/2014/main" id="{00000000-0008-0000-3200-0000C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5" name="Option Button 1474">
          <a:extLst>
            <a:ext uri="{FF2B5EF4-FFF2-40B4-BE49-F238E27FC236}">
              <a16:creationId xmlns:a16="http://schemas.microsoft.com/office/drawing/2014/main" id="{00000000-0008-0000-3200-0000C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6" name="Group Box 1475" descr="Group Box 5">
          <a:extLst>
            <a:ext uri="{FF2B5EF4-FFF2-40B4-BE49-F238E27FC236}">
              <a16:creationId xmlns:a16="http://schemas.microsoft.com/office/drawing/2014/main" id="{00000000-0008-0000-3200-0000C4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315</xdr:row>
      <xdr:rowOff>28440</xdr:rowOff>
    </xdr:from>
    <xdr:to>
      <xdr:col>7</xdr:col>
      <xdr:colOff>-363960</xdr:colOff>
      <xdr:row>316</xdr:row>
      <xdr:rowOff>0</xdr:rowOff>
    </xdr:to>
    <xdr:sp macro="" textlink="">
      <xdr:nvSpPr>
        <xdr:cNvPr id="1477" name="Option Button 1476">
          <a:extLst>
            <a:ext uri="{FF2B5EF4-FFF2-40B4-BE49-F238E27FC236}">
              <a16:creationId xmlns:a16="http://schemas.microsoft.com/office/drawing/2014/main" id="{00000000-0008-0000-3200-0000C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8" name="Option Button 1477">
          <a:extLst>
            <a:ext uri="{FF2B5EF4-FFF2-40B4-BE49-F238E27FC236}">
              <a16:creationId xmlns:a16="http://schemas.microsoft.com/office/drawing/2014/main" id="{00000000-0008-0000-3200-0000C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9" name="Option Button 1478">
          <a:extLst>
            <a:ext uri="{FF2B5EF4-FFF2-40B4-BE49-F238E27FC236}">
              <a16:creationId xmlns:a16="http://schemas.microsoft.com/office/drawing/2014/main" id="{00000000-0008-0000-3200-0000C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0" name="Option Button 1479">
          <a:extLst>
            <a:ext uri="{FF2B5EF4-FFF2-40B4-BE49-F238E27FC236}">
              <a16:creationId xmlns:a16="http://schemas.microsoft.com/office/drawing/2014/main" id="{00000000-0008-0000-3200-0000C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1" name="Group Box 1480" descr="Group Box 5">
          <a:extLst>
            <a:ext uri="{FF2B5EF4-FFF2-40B4-BE49-F238E27FC236}">
              <a16:creationId xmlns:a16="http://schemas.microsoft.com/office/drawing/2014/main" id="{00000000-0008-0000-3200-0000C9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316</xdr:row>
      <xdr:rowOff>28440</xdr:rowOff>
    </xdr:from>
    <xdr:to>
      <xdr:col>7</xdr:col>
      <xdr:colOff>-363960</xdr:colOff>
      <xdr:row>317</xdr:row>
      <xdr:rowOff>0</xdr:rowOff>
    </xdr:to>
    <xdr:sp macro="" textlink="">
      <xdr:nvSpPr>
        <xdr:cNvPr id="1482" name="Option Button 1481">
          <a:extLst>
            <a:ext uri="{FF2B5EF4-FFF2-40B4-BE49-F238E27FC236}">
              <a16:creationId xmlns:a16="http://schemas.microsoft.com/office/drawing/2014/main" id="{00000000-0008-0000-3200-0000C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3" name="Option Button 1482">
          <a:extLst>
            <a:ext uri="{FF2B5EF4-FFF2-40B4-BE49-F238E27FC236}">
              <a16:creationId xmlns:a16="http://schemas.microsoft.com/office/drawing/2014/main" id="{00000000-0008-0000-3200-0000C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4" name="Option Button 1483">
          <a:extLst>
            <a:ext uri="{FF2B5EF4-FFF2-40B4-BE49-F238E27FC236}">
              <a16:creationId xmlns:a16="http://schemas.microsoft.com/office/drawing/2014/main" id="{00000000-0008-0000-3200-0000C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5" name="Option Button 1484">
          <a:extLst>
            <a:ext uri="{FF2B5EF4-FFF2-40B4-BE49-F238E27FC236}">
              <a16:creationId xmlns:a16="http://schemas.microsoft.com/office/drawing/2014/main" id="{00000000-0008-0000-3200-0000C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6" name="Group Box 1485" descr="Group Box 5">
          <a:extLst>
            <a:ext uri="{FF2B5EF4-FFF2-40B4-BE49-F238E27FC236}">
              <a16:creationId xmlns:a16="http://schemas.microsoft.com/office/drawing/2014/main" id="{00000000-0008-0000-3200-0000CE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317</xdr:row>
      <xdr:rowOff>28440</xdr:rowOff>
    </xdr:from>
    <xdr:to>
      <xdr:col>7</xdr:col>
      <xdr:colOff>-363960</xdr:colOff>
      <xdr:row>318</xdr:row>
      <xdr:rowOff>0</xdr:rowOff>
    </xdr:to>
    <xdr:sp macro="" textlink="">
      <xdr:nvSpPr>
        <xdr:cNvPr id="1487" name="Option Button 1486">
          <a:extLst>
            <a:ext uri="{FF2B5EF4-FFF2-40B4-BE49-F238E27FC236}">
              <a16:creationId xmlns:a16="http://schemas.microsoft.com/office/drawing/2014/main" id="{00000000-0008-0000-3200-0000C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8" name="Option Button 1487">
          <a:extLst>
            <a:ext uri="{FF2B5EF4-FFF2-40B4-BE49-F238E27FC236}">
              <a16:creationId xmlns:a16="http://schemas.microsoft.com/office/drawing/2014/main" id="{00000000-0008-0000-3200-0000D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9" name="Option Button 1488">
          <a:extLst>
            <a:ext uri="{FF2B5EF4-FFF2-40B4-BE49-F238E27FC236}">
              <a16:creationId xmlns:a16="http://schemas.microsoft.com/office/drawing/2014/main" id="{00000000-0008-0000-3200-0000D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0" name="Option Button 1489">
          <a:extLst>
            <a:ext uri="{FF2B5EF4-FFF2-40B4-BE49-F238E27FC236}">
              <a16:creationId xmlns:a16="http://schemas.microsoft.com/office/drawing/2014/main" id="{00000000-0008-0000-3200-0000D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1" name="Group Box 1490" descr="Group Box 5">
          <a:extLst>
            <a:ext uri="{FF2B5EF4-FFF2-40B4-BE49-F238E27FC236}">
              <a16:creationId xmlns:a16="http://schemas.microsoft.com/office/drawing/2014/main" id="{00000000-0008-0000-3200-0000D3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318</xdr:row>
      <xdr:rowOff>28440</xdr:rowOff>
    </xdr:from>
    <xdr:to>
      <xdr:col>7</xdr:col>
      <xdr:colOff>-363960</xdr:colOff>
      <xdr:row>319</xdr:row>
      <xdr:rowOff>0</xdr:rowOff>
    </xdr:to>
    <xdr:sp macro="" textlink="">
      <xdr:nvSpPr>
        <xdr:cNvPr id="1492" name="Option Button 1491">
          <a:extLst>
            <a:ext uri="{FF2B5EF4-FFF2-40B4-BE49-F238E27FC236}">
              <a16:creationId xmlns:a16="http://schemas.microsoft.com/office/drawing/2014/main" id="{00000000-0008-0000-3200-0000D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3" name="Option Button 1492">
          <a:extLst>
            <a:ext uri="{FF2B5EF4-FFF2-40B4-BE49-F238E27FC236}">
              <a16:creationId xmlns:a16="http://schemas.microsoft.com/office/drawing/2014/main" id="{00000000-0008-0000-3200-0000D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4" name="Option Button 1493">
          <a:extLst>
            <a:ext uri="{FF2B5EF4-FFF2-40B4-BE49-F238E27FC236}">
              <a16:creationId xmlns:a16="http://schemas.microsoft.com/office/drawing/2014/main" id="{00000000-0008-0000-3200-0000D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5" name="Option Button 1494">
          <a:extLst>
            <a:ext uri="{FF2B5EF4-FFF2-40B4-BE49-F238E27FC236}">
              <a16:creationId xmlns:a16="http://schemas.microsoft.com/office/drawing/2014/main" id="{00000000-0008-0000-3200-0000D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6" name="Group Box 1495" descr="Group Box 5">
          <a:extLst>
            <a:ext uri="{FF2B5EF4-FFF2-40B4-BE49-F238E27FC236}">
              <a16:creationId xmlns:a16="http://schemas.microsoft.com/office/drawing/2014/main" id="{00000000-0008-0000-3200-0000D8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319</xdr:row>
      <xdr:rowOff>28440</xdr:rowOff>
    </xdr:from>
    <xdr:to>
      <xdr:col>7</xdr:col>
      <xdr:colOff>-363960</xdr:colOff>
      <xdr:row>320</xdr:row>
      <xdr:rowOff>0</xdr:rowOff>
    </xdr:to>
    <xdr:sp macro="" textlink="">
      <xdr:nvSpPr>
        <xdr:cNvPr id="1497" name="Option Button 1496">
          <a:extLst>
            <a:ext uri="{FF2B5EF4-FFF2-40B4-BE49-F238E27FC236}">
              <a16:creationId xmlns:a16="http://schemas.microsoft.com/office/drawing/2014/main" id="{00000000-0008-0000-3200-0000D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8" name="Option Button 1497">
          <a:extLst>
            <a:ext uri="{FF2B5EF4-FFF2-40B4-BE49-F238E27FC236}">
              <a16:creationId xmlns:a16="http://schemas.microsoft.com/office/drawing/2014/main" id="{00000000-0008-0000-3200-0000D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9" name="Option Button 1498">
          <a:extLst>
            <a:ext uri="{FF2B5EF4-FFF2-40B4-BE49-F238E27FC236}">
              <a16:creationId xmlns:a16="http://schemas.microsoft.com/office/drawing/2014/main" id="{00000000-0008-0000-3200-0000D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0" name="Option Button 1499">
          <a:extLst>
            <a:ext uri="{FF2B5EF4-FFF2-40B4-BE49-F238E27FC236}">
              <a16:creationId xmlns:a16="http://schemas.microsoft.com/office/drawing/2014/main" id="{00000000-0008-0000-3200-0000D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1" name="Group Box 1500" descr="Group Box 5">
          <a:extLst>
            <a:ext uri="{FF2B5EF4-FFF2-40B4-BE49-F238E27FC236}">
              <a16:creationId xmlns:a16="http://schemas.microsoft.com/office/drawing/2014/main" id="{00000000-0008-0000-3200-0000DD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320</xdr:row>
      <xdr:rowOff>28440</xdr:rowOff>
    </xdr:from>
    <xdr:to>
      <xdr:col>7</xdr:col>
      <xdr:colOff>-363960</xdr:colOff>
      <xdr:row>321</xdr:row>
      <xdr:rowOff>0</xdr:rowOff>
    </xdr:to>
    <xdr:sp macro="" textlink="">
      <xdr:nvSpPr>
        <xdr:cNvPr id="1502" name="Option Button 1501">
          <a:extLst>
            <a:ext uri="{FF2B5EF4-FFF2-40B4-BE49-F238E27FC236}">
              <a16:creationId xmlns:a16="http://schemas.microsoft.com/office/drawing/2014/main" id="{00000000-0008-0000-3200-0000D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3" name="Option Button 1502">
          <a:extLst>
            <a:ext uri="{FF2B5EF4-FFF2-40B4-BE49-F238E27FC236}">
              <a16:creationId xmlns:a16="http://schemas.microsoft.com/office/drawing/2014/main" id="{00000000-0008-0000-3200-0000D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4" name="Option Button 1503">
          <a:extLst>
            <a:ext uri="{FF2B5EF4-FFF2-40B4-BE49-F238E27FC236}">
              <a16:creationId xmlns:a16="http://schemas.microsoft.com/office/drawing/2014/main" id="{00000000-0008-0000-3200-0000E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5" name="Option Button 1504">
          <a:extLst>
            <a:ext uri="{FF2B5EF4-FFF2-40B4-BE49-F238E27FC236}">
              <a16:creationId xmlns:a16="http://schemas.microsoft.com/office/drawing/2014/main" id="{00000000-0008-0000-3200-0000E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6" name="Group Box 1505" descr="Group Box 5">
          <a:extLst>
            <a:ext uri="{FF2B5EF4-FFF2-40B4-BE49-F238E27FC236}">
              <a16:creationId xmlns:a16="http://schemas.microsoft.com/office/drawing/2014/main" id="{00000000-0008-0000-3200-0000E2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321</xdr:row>
      <xdr:rowOff>28440</xdr:rowOff>
    </xdr:from>
    <xdr:to>
      <xdr:col>7</xdr:col>
      <xdr:colOff>-363960</xdr:colOff>
      <xdr:row>322</xdr:row>
      <xdr:rowOff>0</xdr:rowOff>
    </xdr:to>
    <xdr:sp macro="" textlink="">
      <xdr:nvSpPr>
        <xdr:cNvPr id="1507" name="Option Button 1506">
          <a:extLst>
            <a:ext uri="{FF2B5EF4-FFF2-40B4-BE49-F238E27FC236}">
              <a16:creationId xmlns:a16="http://schemas.microsoft.com/office/drawing/2014/main" id="{00000000-0008-0000-3200-0000E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8" name="Option Button 1507">
          <a:extLst>
            <a:ext uri="{FF2B5EF4-FFF2-40B4-BE49-F238E27FC236}">
              <a16:creationId xmlns:a16="http://schemas.microsoft.com/office/drawing/2014/main" id="{00000000-0008-0000-3200-0000E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9" name="Option Button 1508">
          <a:extLst>
            <a:ext uri="{FF2B5EF4-FFF2-40B4-BE49-F238E27FC236}">
              <a16:creationId xmlns:a16="http://schemas.microsoft.com/office/drawing/2014/main" id="{00000000-0008-0000-3200-0000E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0" name="Option Button 1509">
          <a:extLst>
            <a:ext uri="{FF2B5EF4-FFF2-40B4-BE49-F238E27FC236}">
              <a16:creationId xmlns:a16="http://schemas.microsoft.com/office/drawing/2014/main" id="{00000000-0008-0000-3200-0000E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1" name="Group Box 1510" descr="Group Box 5">
          <a:extLst>
            <a:ext uri="{FF2B5EF4-FFF2-40B4-BE49-F238E27FC236}">
              <a16:creationId xmlns:a16="http://schemas.microsoft.com/office/drawing/2014/main" id="{00000000-0008-0000-3200-0000E7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322</xdr:row>
      <xdr:rowOff>28440</xdr:rowOff>
    </xdr:from>
    <xdr:to>
      <xdr:col>7</xdr:col>
      <xdr:colOff>-363960</xdr:colOff>
      <xdr:row>323</xdr:row>
      <xdr:rowOff>0</xdr:rowOff>
    </xdr:to>
    <xdr:sp macro="" textlink="">
      <xdr:nvSpPr>
        <xdr:cNvPr id="1512" name="Option Button 1511">
          <a:extLst>
            <a:ext uri="{FF2B5EF4-FFF2-40B4-BE49-F238E27FC236}">
              <a16:creationId xmlns:a16="http://schemas.microsoft.com/office/drawing/2014/main" id="{00000000-0008-0000-3200-0000E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3" name="Option Button 1512">
          <a:extLst>
            <a:ext uri="{FF2B5EF4-FFF2-40B4-BE49-F238E27FC236}">
              <a16:creationId xmlns:a16="http://schemas.microsoft.com/office/drawing/2014/main" id="{00000000-0008-0000-3200-0000E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4" name="Option Button 1513">
          <a:extLst>
            <a:ext uri="{FF2B5EF4-FFF2-40B4-BE49-F238E27FC236}">
              <a16:creationId xmlns:a16="http://schemas.microsoft.com/office/drawing/2014/main" id="{00000000-0008-0000-3200-0000E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5" name="Option Button 1514">
          <a:extLst>
            <a:ext uri="{FF2B5EF4-FFF2-40B4-BE49-F238E27FC236}">
              <a16:creationId xmlns:a16="http://schemas.microsoft.com/office/drawing/2014/main" id="{00000000-0008-0000-3200-0000E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6" name="Group Box 1515" descr="Group Box 5">
          <a:extLst>
            <a:ext uri="{FF2B5EF4-FFF2-40B4-BE49-F238E27FC236}">
              <a16:creationId xmlns:a16="http://schemas.microsoft.com/office/drawing/2014/main" id="{00000000-0008-0000-3200-0000EC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323</xdr:row>
      <xdr:rowOff>28440</xdr:rowOff>
    </xdr:from>
    <xdr:to>
      <xdr:col>7</xdr:col>
      <xdr:colOff>-363960</xdr:colOff>
      <xdr:row>324</xdr:row>
      <xdr:rowOff>0</xdr:rowOff>
    </xdr:to>
    <xdr:sp macro="" textlink="">
      <xdr:nvSpPr>
        <xdr:cNvPr id="1517" name="Option Button 1516">
          <a:extLst>
            <a:ext uri="{FF2B5EF4-FFF2-40B4-BE49-F238E27FC236}">
              <a16:creationId xmlns:a16="http://schemas.microsoft.com/office/drawing/2014/main" id="{00000000-0008-0000-3200-0000E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8" name="Option Button 1517">
          <a:extLst>
            <a:ext uri="{FF2B5EF4-FFF2-40B4-BE49-F238E27FC236}">
              <a16:creationId xmlns:a16="http://schemas.microsoft.com/office/drawing/2014/main" id="{00000000-0008-0000-3200-0000E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9" name="Option Button 1518">
          <a:extLst>
            <a:ext uri="{FF2B5EF4-FFF2-40B4-BE49-F238E27FC236}">
              <a16:creationId xmlns:a16="http://schemas.microsoft.com/office/drawing/2014/main" id="{00000000-0008-0000-3200-0000E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0" name="Option Button 1519">
          <a:extLst>
            <a:ext uri="{FF2B5EF4-FFF2-40B4-BE49-F238E27FC236}">
              <a16:creationId xmlns:a16="http://schemas.microsoft.com/office/drawing/2014/main" id="{00000000-0008-0000-3200-0000F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1" name="Group Box 1520" descr="Group Box 5">
          <a:extLst>
            <a:ext uri="{FF2B5EF4-FFF2-40B4-BE49-F238E27FC236}">
              <a16:creationId xmlns:a16="http://schemas.microsoft.com/office/drawing/2014/main" id="{00000000-0008-0000-3200-0000F1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324</xdr:row>
      <xdr:rowOff>28440</xdr:rowOff>
    </xdr:from>
    <xdr:to>
      <xdr:col>7</xdr:col>
      <xdr:colOff>-363960</xdr:colOff>
      <xdr:row>325</xdr:row>
      <xdr:rowOff>0</xdr:rowOff>
    </xdr:to>
    <xdr:sp macro="" textlink="">
      <xdr:nvSpPr>
        <xdr:cNvPr id="1522" name="Option Button 1521">
          <a:extLst>
            <a:ext uri="{FF2B5EF4-FFF2-40B4-BE49-F238E27FC236}">
              <a16:creationId xmlns:a16="http://schemas.microsoft.com/office/drawing/2014/main" id="{00000000-0008-0000-3200-0000F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3" name="Option Button 1522">
          <a:extLst>
            <a:ext uri="{FF2B5EF4-FFF2-40B4-BE49-F238E27FC236}">
              <a16:creationId xmlns:a16="http://schemas.microsoft.com/office/drawing/2014/main" id="{00000000-0008-0000-3200-0000F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4" name="Option Button 1523">
          <a:extLst>
            <a:ext uri="{FF2B5EF4-FFF2-40B4-BE49-F238E27FC236}">
              <a16:creationId xmlns:a16="http://schemas.microsoft.com/office/drawing/2014/main" id="{00000000-0008-0000-3200-0000F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5" name="Option Button 1524">
          <a:extLst>
            <a:ext uri="{FF2B5EF4-FFF2-40B4-BE49-F238E27FC236}">
              <a16:creationId xmlns:a16="http://schemas.microsoft.com/office/drawing/2014/main" id="{00000000-0008-0000-3200-0000F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6" name="Group Box 1525" descr="Group Box 5">
          <a:extLst>
            <a:ext uri="{FF2B5EF4-FFF2-40B4-BE49-F238E27FC236}">
              <a16:creationId xmlns:a16="http://schemas.microsoft.com/office/drawing/2014/main" id="{00000000-0008-0000-3200-0000F6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325</xdr:row>
      <xdr:rowOff>28440</xdr:rowOff>
    </xdr:from>
    <xdr:to>
      <xdr:col>7</xdr:col>
      <xdr:colOff>-363960</xdr:colOff>
      <xdr:row>326</xdr:row>
      <xdr:rowOff>0</xdr:rowOff>
    </xdr:to>
    <xdr:sp macro="" textlink="">
      <xdr:nvSpPr>
        <xdr:cNvPr id="1527" name="Option Button 1526">
          <a:extLst>
            <a:ext uri="{FF2B5EF4-FFF2-40B4-BE49-F238E27FC236}">
              <a16:creationId xmlns:a16="http://schemas.microsoft.com/office/drawing/2014/main" id="{00000000-0008-0000-3200-0000F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8" name="Option Button 1527">
          <a:extLst>
            <a:ext uri="{FF2B5EF4-FFF2-40B4-BE49-F238E27FC236}">
              <a16:creationId xmlns:a16="http://schemas.microsoft.com/office/drawing/2014/main" id="{00000000-0008-0000-3200-0000F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9" name="Option Button 1528">
          <a:extLst>
            <a:ext uri="{FF2B5EF4-FFF2-40B4-BE49-F238E27FC236}">
              <a16:creationId xmlns:a16="http://schemas.microsoft.com/office/drawing/2014/main" id="{00000000-0008-0000-3200-0000F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0" name="Option Button 1529">
          <a:extLst>
            <a:ext uri="{FF2B5EF4-FFF2-40B4-BE49-F238E27FC236}">
              <a16:creationId xmlns:a16="http://schemas.microsoft.com/office/drawing/2014/main" id="{00000000-0008-0000-3200-0000F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1" name="Group Box 1530" descr="Group Box 5">
          <a:extLst>
            <a:ext uri="{FF2B5EF4-FFF2-40B4-BE49-F238E27FC236}">
              <a16:creationId xmlns:a16="http://schemas.microsoft.com/office/drawing/2014/main" id="{00000000-0008-0000-3200-0000FB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326</xdr:row>
      <xdr:rowOff>28440</xdr:rowOff>
    </xdr:from>
    <xdr:to>
      <xdr:col>7</xdr:col>
      <xdr:colOff>-363960</xdr:colOff>
      <xdr:row>327</xdr:row>
      <xdr:rowOff>0</xdr:rowOff>
    </xdr:to>
    <xdr:sp macro="" textlink="">
      <xdr:nvSpPr>
        <xdr:cNvPr id="1532" name="Option Button 1531">
          <a:extLst>
            <a:ext uri="{FF2B5EF4-FFF2-40B4-BE49-F238E27FC236}">
              <a16:creationId xmlns:a16="http://schemas.microsoft.com/office/drawing/2014/main" id="{00000000-0008-0000-3200-0000F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3" name="Option Button 1532">
          <a:extLst>
            <a:ext uri="{FF2B5EF4-FFF2-40B4-BE49-F238E27FC236}">
              <a16:creationId xmlns:a16="http://schemas.microsoft.com/office/drawing/2014/main" id="{00000000-0008-0000-3200-0000F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4" name="Option Button 1533">
          <a:extLst>
            <a:ext uri="{FF2B5EF4-FFF2-40B4-BE49-F238E27FC236}">
              <a16:creationId xmlns:a16="http://schemas.microsoft.com/office/drawing/2014/main" id="{00000000-0008-0000-3200-0000F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5" name="Option Button 1534">
          <a:extLst>
            <a:ext uri="{FF2B5EF4-FFF2-40B4-BE49-F238E27FC236}">
              <a16:creationId xmlns:a16="http://schemas.microsoft.com/office/drawing/2014/main" id="{00000000-0008-0000-3200-0000F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6" name="Group Box 1535" descr="Group Box 5">
          <a:extLst>
            <a:ext uri="{FF2B5EF4-FFF2-40B4-BE49-F238E27FC236}">
              <a16:creationId xmlns:a16="http://schemas.microsoft.com/office/drawing/2014/main" id="{00000000-0008-0000-3200-000000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327</xdr:row>
      <xdr:rowOff>28440</xdr:rowOff>
    </xdr:from>
    <xdr:to>
      <xdr:col>7</xdr:col>
      <xdr:colOff>-363960</xdr:colOff>
      <xdr:row>328</xdr:row>
      <xdr:rowOff>0</xdr:rowOff>
    </xdr:to>
    <xdr:sp macro="" textlink="">
      <xdr:nvSpPr>
        <xdr:cNvPr id="1537" name="Option Button 1536">
          <a:extLst>
            <a:ext uri="{FF2B5EF4-FFF2-40B4-BE49-F238E27FC236}">
              <a16:creationId xmlns:a16="http://schemas.microsoft.com/office/drawing/2014/main" id="{00000000-0008-0000-3200-00000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8" name="Option Button 1537">
          <a:extLst>
            <a:ext uri="{FF2B5EF4-FFF2-40B4-BE49-F238E27FC236}">
              <a16:creationId xmlns:a16="http://schemas.microsoft.com/office/drawing/2014/main" id="{00000000-0008-0000-3200-00000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9" name="Option Button 1538">
          <a:extLst>
            <a:ext uri="{FF2B5EF4-FFF2-40B4-BE49-F238E27FC236}">
              <a16:creationId xmlns:a16="http://schemas.microsoft.com/office/drawing/2014/main" id="{00000000-0008-0000-3200-00000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0" name="Option Button 1539">
          <a:extLst>
            <a:ext uri="{FF2B5EF4-FFF2-40B4-BE49-F238E27FC236}">
              <a16:creationId xmlns:a16="http://schemas.microsoft.com/office/drawing/2014/main" id="{00000000-0008-0000-3200-00000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1" name="Group Box 1540" descr="Group Box 5">
          <a:extLst>
            <a:ext uri="{FF2B5EF4-FFF2-40B4-BE49-F238E27FC236}">
              <a16:creationId xmlns:a16="http://schemas.microsoft.com/office/drawing/2014/main" id="{00000000-0008-0000-3200-000005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328</xdr:row>
      <xdr:rowOff>28440</xdr:rowOff>
    </xdr:from>
    <xdr:to>
      <xdr:col>7</xdr:col>
      <xdr:colOff>-363960</xdr:colOff>
      <xdr:row>329</xdr:row>
      <xdr:rowOff>0</xdr:rowOff>
    </xdr:to>
    <xdr:sp macro="" textlink="">
      <xdr:nvSpPr>
        <xdr:cNvPr id="1542" name="Option Button 1541">
          <a:extLst>
            <a:ext uri="{FF2B5EF4-FFF2-40B4-BE49-F238E27FC236}">
              <a16:creationId xmlns:a16="http://schemas.microsoft.com/office/drawing/2014/main" id="{00000000-0008-0000-3200-00000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3" name="Option Button 1542">
          <a:extLst>
            <a:ext uri="{FF2B5EF4-FFF2-40B4-BE49-F238E27FC236}">
              <a16:creationId xmlns:a16="http://schemas.microsoft.com/office/drawing/2014/main" id="{00000000-0008-0000-3200-00000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4" name="Option Button 1543">
          <a:extLst>
            <a:ext uri="{FF2B5EF4-FFF2-40B4-BE49-F238E27FC236}">
              <a16:creationId xmlns:a16="http://schemas.microsoft.com/office/drawing/2014/main" id="{00000000-0008-0000-3200-00000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5" name="Option Button 1544">
          <a:extLst>
            <a:ext uri="{FF2B5EF4-FFF2-40B4-BE49-F238E27FC236}">
              <a16:creationId xmlns:a16="http://schemas.microsoft.com/office/drawing/2014/main" id="{00000000-0008-0000-3200-00000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6" name="Group Box 1545" descr="Group Box 5">
          <a:extLst>
            <a:ext uri="{FF2B5EF4-FFF2-40B4-BE49-F238E27FC236}">
              <a16:creationId xmlns:a16="http://schemas.microsoft.com/office/drawing/2014/main" id="{00000000-0008-0000-3200-00000A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329</xdr:row>
      <xdr:rowOff>28440</xdr:rowOff>
    </xdr:from>
    <xdr:to>
      <xdr:col>7</xdr:col>
      <xdr:colOff>-363960</xdr:colOff>
      <xdr:row>330</xdr:row>
      <xdr:rowOff>0</xdr:rowOff>
    </xdr:to>
    <xdr:sp macro="" textlink="">
      <xdr:nvSpPr>
        <xdr:cNvPr id="1547" name="Option Button 1546">
          <a:extLst>
            <a:ext uri="{FF2B5EF4-FFF2-40B4-BE49-F238E27FC236}">
              <a16:creationId xmlns:a16="http://schemas.microsoft.com/office/drawing/2014/main" id="{00000000-0008-0000-3200-00000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8" name="Option Button 1547">
          <a:extLst>
            <a:ext uri="{FF2B5EF4-FFF2-40B4-BE49-F238E27FC236}">
              <a16:creationId xmlns:a16="http://schemas.microsoft.com/office/drawing/2014/main" id="{00000000-0008-0000-3200-00000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9" name="Option Button 1548">
          <a:extLst>
            <a:ext uri="{FF2B5EF4-FFF2-40B4-BE49-F238E27FC236}">
              <a16:creationId xmlns:a16="http://schemas.microsoft.com/office/drawing/2014/main" id="{00000000-0008-0000-3200-00000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0" name="Option Button 1549">
          <a:extLst>
            <a:ext uri="{FF2B5EF4-FFF2-40B4-BE49-F238E27FC236}">
              <a16:creationId xmlns:a16="http://schemas.microsoft.com/office/drawing/2014/main" id="{00000000-0008-0000-3200-00000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1" name="Group Box 1550" descr="Group Box 5">
          <a:extLst>
            <a:ext uri="{FF2B5EF4-FFF2-40B4-BE49-F238E27FC236}">
              <a16:creationId xmlns:a16="http://schemas.microsoft.com/office/drawing/2014/main" id="{00000000-0008-0000-3200-00000F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330</xdr:row>
      <xdr:rowOff>28440</xdr:rowOff>
    </xdr:from>
    <xdr:to>
      <xdr:col>7</xdr:col>
      <xdr:colOff>-363960</xdr:colOff>
      <xdr:row>331</xdr:row>
      <xdr:rowOff>0</xdr:rowOff>
    </xdr:to>
    <xdr:sp macro="" textlink="">
      <xdr:nvSpPr>
        <xdr:cNvPr id="1552" name="Option Button 1551">
          <a:extLst>
            <a:ext uri="{FF2B5EF4-FFF2-40B4-BE49-F238E27FC236}">
              <a16:creationId xmlns:a16="http://schemas.microsoft.com/office/drawing/2014/main" id="{00000000-0008-0000-3200-00001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3" name="Option Button 1552">
          <a:extLst>
            <a:ext uri="{FF2B5EF4-FFF2-40B4-BE49-F238E27FC236}">
              <a16:creationId xmlns:a16="http://schemas.microsoft.com/office/drawing/2014/main" id="{00000000-0008-0000-3200-00001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4" name="Option Button 1553">
          <a:extLst>
            <a:ext uri="{FF2B5EF4-FFF2-40B4-BE49-F238E27FC236}">
              <a16:creationId xmlns:a16="http://schemas.microsoft.com/office/drawing/2014/main" id="{00000000-0008-0000-3200-00001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5" name="Option Button 1554">
          <a:extLst>
            <a:ext uri="{FF2B5EF4-FFF2-40B4-BE49-F238E27FC236}">
              <a16:creationId xmlns:a16="http://schemas.microsoft.com/office/drawing/2014/main" id="{00000000-0008-0000-3200-00001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6" name="Group Box 1555" descr="Group Box 5">
          <a:extLst>
            <a:ext uri="{FF2B5EF4-FFF2-40B4-BE49-F238E27FC236}">
              <a16:creationId xmlns:a16="http://schemas.microsoft.com/office/drawing/2014/main" id="{00000000-0008-0000-3200-000014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331</xdr:row>
      <xdr:rowOff>28440</xdr:rowOff>
    </xdr:from>
    <xdr:to>
      <xdr:col>7</xdr:col>
      <xdr:colOff>-363960</xdr:colOff>
      <xdr:row>332</xdr:row>
      <xdr:rowOff>0</xdr:rowOff>
    </xdr:to>
    <xdr:sp macro="" textlink="">
      <xdr:nvSpPr>
        <xdr:cNvPr id="1557" name="Option Button 1556">
          <a:extLst>
            <a:ext uri="{FF2B5EF4-FFF2-40B4-BE49-F238E27FC236}">
              <a16:creationId xmlns:a16="http://schemas.microsoft.com/office/drawing/2014/main" id="{00000000-0008-0000-3200-00001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8" name="Option Button 1557">
          <a:extLst>
            <a:ext uri="{FF2B5EF4-FFF2-40B4-BE49-F238E27FC236}">
              <a16:creationId xmlns:a16="http://schemas.microsoft.com/office/drawing/2014/main" id="{00000000-0008-0000-3200-00001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9" name="Option Button 1558">
          <a:extLst>
            <a:ext uri="{FF2B5EF4-FFF2-40B4-BE49-F238E27FC236}">
              <a16:creationId xmlns:a16="http://schemas.microsoft.com/office/drawing/2014/main" id="{00000000-0008-0000-3200-00001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0" name="Option Button 1559">
          <a:extLst>
            <a:ext uri="{FF2B5EF4-FFF2-40B4-BE49-F238E27FC236}">
              <a16:creationId xmlns:a16="http://schemas.microsoft.com/office/drawing/2014/main" id="{00000000-0008-0000-3200-00001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1" name="Group Box 1560" descr="Group Box 5">
          <a:extLst>
            <a:ext uri="{FF2B5EF4-FFF2-40B4-BE49-F238E27FC236}">
              <a16:creationId xmlns:a16="http://schemas.microsoft.com/office/drawing/2014/main" id="{00000000-0008-0000-3200-000019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332</xdr:row>
      <xdr:rowOff>28440</xdr:rowOff>
    </xdr:from>
    <xdr:to>
      <xdr:col>7</xdr:col>
      <xdr:colOff>-363960</xdr:colOff>
      <xdr:row>333</xdr:row>
      <xdr:rowOff>0</xdr:rowOff>
    </xdr:to>
    <xdr:sp macro="" textlink="">
      <xdr:nvSpPr>
        <xdr:cNvPr id="1562" name="Option Button 1561">
          <a:extLst>
            <a:ext uri="{FF2B5EF4-FFF2-40B4-BE49-F238E27FC236}">
              <a16:creationId xmlns:a16="http://schemas.microsoft.com/office/drawing/2014/main" id="{00000000-0008-0000-3200-00001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3" name="Option Button 1562">
          <a:extLst>
            <a:ext uri="{FF2B5EF4-FFF2-40B4-BE49-F238E27FC236}">
              <a16:creationId xmlns:a16="http://schemas.microsoft.com/office/drawing/2014/main" id="{00000000-0008-0000-3200-00001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4" name="Option Button 1563">
          <a:extLst>
            <a:ext uri="{FF2B5EF4-FFF2-40B4-BE49-F238E27FC236}">
              <a16:creationId xmlns:a16="http://schemas.microsoft.com/office/drawing/2014/main" id="{00000000-0008-0000-3200-00001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5" name="Option Button 1564">
          <a:extLst>
            <a:ext uri="{FF2B5EF4-FFF2-40B4-BE49-F238E27FC236}">
              <a16:creationId xmlns:a16="http://schemas.microsoft.com/office/drawing/2014/main" id="{00000000-0008-0000-3200-00001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6" name="Group Box 1565" descr="Group Box 5">
          <a:extLst>
            <a:ext uri="{FF2B5EF4-FFF2-40B4-BE49-F238E27FC236}">
              <a16:creationId xmlns:a16="http://schemas.microsoft.com/office/drawing/2014/main" id="{00000000-0008-0000-3200-00001E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333</xdr:row>
      <xdr:rowOff>28440</xdr:rowOff>
    </xdr:from>
    <xdr:to>
      <xdr:col>7</xdr:col>
      <xdr:colOff>-363960</xdr:colOff>
      <xdr:row>334</xdr:row>
      <xdr:rowOff>0</xdr:rowOff>
    </xdr:to>
    <xdr:sp macro="" textlink="">
      <xdr:nvSpPr>
        <xdr:cNvPr id="1567" name="Option Button 1566">
          <a:extLst>
            <a:ext uri="{FF2B5EF4-FFF2-40B4-BE49-F238E27FC236}">
              <a16:creationId xmlns:a16="http://schemas.microsoft.com/office/drawing/2014/main" id="{00000000-0008-0000-3200-00001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8" name="Option Button 1567">
          <a:extLst>
            <a:ext uri="{FF2B5EF4-FFF2-40B4-BE49-F238E27FC236}">
              <a16:creationId xmlns:a16="http://schemas.microsoft.com/office/drawing/2014/main" id="{00000000-0008-0000-3200-00002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9" name="Option Button 1568">
          <a:extLst>
            <a:ext uri="{FF2B5EF4-FFF2-40B4-BE49-F238E27FC236}">
              <a16:creationId xmlns:a16="http://schemas.microsoft.com/office/drawing/2014/main" id="{00000000-0008-0000-3200-00002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0" name="Option Button 1569">
          <a:extLst>
            <a:ext uri="{FF2B5EF4-FFF2-40B4-BE49-F238E27FC236}">
              <a16:creationId xmlns:a16="http://schemas.microsoft.com/office/drawing/2014/main" id="{00000000-0008-0000-3200-00002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1" name="Group Box 1570" descr="Group Box 5">
          <a:extLst>
            <a:ext uri="{FF2B5EF4-FFF2-40B4-BE49-F238E27FC236}">
              <a16:creationId xmlns:a16="http://schemas.microsoft.com/office/drawing/2014/main" id="{00000000-0008-0000-3200-000023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334</xdr:row>
      <xdr:rowOff>28440</xdr:rowOff>
    </xdr:from>
    <xdr:to>
      <xdr:col>7</xdr:col>
      <xdr:colOff>-363960</xdr:colOff>
      <xdr:row>335</xdr:row>
      <xdr:rowOff>0</xdr:rowOff>
    </xdr:to>
    <xdr:sp macro="" textlink="">
      <xdr:nvSpPr>
        <xdr:cNvPr id="1572" name="Option Button 1571">
          <a:extLst>
            <a:ext uri="{FF2B5EF4-FFF2-40B4-BE49-F238E27FC236}">
              <a16:creationId xmlns:a16="http://schemas.microsoft.com/office/drawing/2014/main" id="{00000000-0008-0000-3200-00002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3" name="Option Button 1572">
          <a:extLst>
            <a:ext uri="{FF2B5EF4-FFF2-40B4-BE49-F238E27FC236}">
              <a16:creationId xmlns:a16="http://schemas.microsoft.com/office/drawing/2014/main" id="{00000000-0008-0000-3200-00002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4" name="Option Button 1573">
          <a:extLst>
            <a:ext uri="{FF2B5EF4-FFF2-40B4-BE49-F238E27FC236}">
              <a16:creationId xmlns:a16="http://schemas.microsoft.com/office/drawing/2014/main" id="{00000000-0008-0000-3200-00002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5" name="Option Button 1574">
          <a:extLst>
            <a:ext uri="{FF2B5EF4-FFF2-40B4-BE49-F238E27FC236}">
              <a16:creationId xmlns:a16="http://schemas.microsoft.com/office/drawing/2014/main" id="{00000000-0008-0000-3200-00002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6" name="Group Box 1575" descr="Group Box 5">
          <a:extLst>
            <a:ext uri="{FF2B5EF4-FFF2-40B4-BE49-F238E27FC236}">
              <a16:creationId xmlns:a16="http://schemas.microsoft.com/office/drawing/2014/main" id="{00000000-0008-0000-3200-000028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335</xdr:row>
      <xdr:rowOff>28440</xdr:rowOff>
    </xdr:from>
    <xdr:to>
      <xdr:col>7</xdr:col>
      <xdr:colOff>-363960</xdr:colOff>
      <xdr:row>336</xdr:row>
      <xdr:rowOff>0</xdr:rowOff>
    </xdr:to>
    <xdr:sp macro="" textlink="">
      <xdr:nvSpPr>
        <xdr:cNvPr id="1577" name="Option Button 1576">
          <a:extLst>
            <a:ext uri="{FF2B5EF4-FFF2-40B4-BE49-F238E27FC236}">
              <a16:creationId xmlns:a16="http://schemas.microsoft.com/office/drawing/2014/main" id="{00000000-0008-0000-3200-00002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8" name="Option Button 1577">
          <a:extLst>
            <a:ext uri="{FF2B5EF4-FFF2-40B4-BE49-F238E27FC236}">
              <a16:creationId xmlns:a16="http://schemas.microsoft.com/office/drawing/2014/main" id="{00000000-0008-0000-3200-00002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9" name="Option Button 1578">
          <a:extLst>
            <a:ext uri="{FF2B5EF4-FFF2-40B4-BE49-F238E27FC236}">
              <a16:creationId xmlns:a16="http://schemas.microsoft.com/office/drawing/2014/main" id="{00000000-0008-0000-3200-00002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0" name="Option Button 1579">
          <a:extLst>
            <a:ext uri="{FF2B5EF4-FFF2-40B4-BE49-F238E27FC236}">
              <a16:creationId xmlns:a16="http://schemas.microsoft.com/office/drawing/2014/main" id="{00000000-0008-0000-3200-00002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1" name="Group Box 1580" descr="Group Box 5">
          <a:extLst>
            <a:ext uri="{FF2B5EF4-FFF2-40B4-BE49-F238E27FC236}">
              <a16:creationId xmlns:a16="http://schemas.microsoft.com/office/drawing/2014/main" id="{00000000-0008-0000-3200-00002D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336</xdr:row>
      <xdr:rowOff>28440</xdr:rowOff>
    </xdr:from>
    <xdr:to>
      <xdr:col>7</xdr:col>
      <xdr:colOff>-363960</xdr:colOff>
      <xdr:row>337</xdr:row>
      <xdr:rowOff>0</xdr:rowOff>
    </xdr:to>
    <xdr:sp macro="" textlink="">
      <xdr:nvSpPr>
        <xdr:cNvPr id="1582" name="Option Button 1581">
          <a:extLst>
            <a:ext uri="{FF2B5EF4-FFF2-40B4-BE49-F238E27FC236}">
              <a16:creationId xmlns:a16="http://schemas.microsoft.com/office/drawing/2014/main" id="{00000000-0008-0000-3200-00002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3" name="Option Button 1582">
          <a:extLst>
            <a:ext uri="{FF2B5EF4-FFF2-40B4-BE49-F238E27FC236}">
              <a16:creationId xmlns:a16="http://schemas.microsoft.com/office/drawing/2014/main" id="{00000000-0008-0000-3200-00002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4" name="Option Button 1583">
          <a:extLst>
            <a:ext uri="{FF2B5EF4-FFF2-40B4-BE49-F238E27FC236}">
              <a16:creationId xmlns:a16="http://schemas.microsoft.com/office/drawing/2014/main" id="{00000000-0008-0000-3200-00003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5" name="Option Button 1584">
          <a:extLst>
            <a:ext uri="{FF2B5EF4-FFF2-40B4-BE49-F238E27FC236}">
              <a16:creationId xmlns:a16="http://schemas.microsoft.com/office/drawing/2014/main" id="{00000000-0008-0000-3200-00003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6" name="Group Box 1585" descr="Group Box 5">
          <a:extLst>
            <a:ext uri="{FF2B5EF4-FFF2-40B4-BE49-F238E27FC236}">
              <a16:creationId xmlns:a16="http://schemas.microsoft.com/office/drawing/2014/main" id="{00000000-0008-0000-3200-000032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337</xdr:row>
      <xdr:rowOff>28440</xdr:rowOff>
    </xdr:from>
    <xdr:to>
      <xdr:col>7</xdr:col>
      <xdr:colOff>-363960</xdr:colOff>
      <xdr:row>338</xdr:row>
      <xdr:rowOff>0</xdr:rowOff>
    </xdr:to>
    <xdr:sp macro="" textlink="">
      <xdr:nvSpPr>
        <xdr:cNvPr id="1587" name="Option Button 1586">
          <a:extLst>
            <a:ext uri="{FF2B5EF4-FFF2-40B4-BE49-F238E27FC236}">
              <a16:creationId xmlns:a16="http://schemas.microsoft.com/office/drawing/2014/main" id="{00000000-0008-0000-3200-00003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8" name="Option Button 1587">
          <a:extLst>
            <a:ext uri="{FF2B5EF4-FFF2-40B4-BE49-F238E27FC236}">
              <a16:creationId xmlns:a16="http://schemas.microsoft.com/office/drawing/2014/main" id="{00000000-0008-0000-3200-00003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9" name="Option Button 1588">
          <a:extLst>
            <a:ext uri="{FF2B5EF4-FFF2-40B4-BE49-F238E27FC236}">
              <a16:creationId xmlns:a16="http://schemas.microsoft.com/office/drawing/2014/main" id="{00000000-0008-0000-3200-00003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0" name="Option Button 1589">
          <a:extLst>
            <a:ext uri="{FF2B5EF4-FFF2-40B4-BE49-F238E27FC236}">
              <a16:creationId xmlns:a16="http://schemas.microsoft.com/office/drawing/2014/main" id="{00000000-0008-0000-3200-00003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1" name="Group Box 1590" descr="Group Box 5">
          <a:extLst>
            <a:ext uri="{FF2B5EF4-FFF2-40B4-BE49-F238E27FC236}">
              <a16:creationId xmlns:a16="http://schemas.microsoft.com/office/drawing/2014/main" id="{00000000-0008-0000-3200-000037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338</xdr:row>
      <xdr:rowOff>28440</xdr:rowOff>
    </xdr:from>
    <xdr:to>
      <xdr:col>7</xdr:col>
      <xdr:colOff>-363960</xdr:colOff>
      <xdr:row>339</xdr:row>
      <xdr:rowOff>0</xdr:rowOff>
    </xdr:to>
    <xdr:sp macro="" textlink="">
      <xdr:nvSpPr>
        <xdr:cNvPr id="1592" name="Option Button 1591">
          <a:extLst>
            <a:ext uri="{FF2B5EF4-FFF2-40B4-BE49-F238E27FC236}">
              <a16:creationId xmlns:a16="http://schemas.microsoft.com/office/drawing/2014/main" id="{00000000-0008-0000-3200-00003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3" name="Option Button 1592">
          <a:extLst>
            <a:ext uri="{FF2B5EF4-FFF2-40B4-BE49-F238E27FC236}">
              <a16:creationId xmlns:a16="http://schemas.microsoft.com/office/drawing/2014/main" id="{00000000-0008-0000-3200-00003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4" name="Option Button 1593">
          <a:extLst>
            <a:ext uri="{FF2B5EF4-FFF2-40B4-BE49-F238E27FC236}">
              <a16:creationId xmlns:a16="http://schemas.microsoft.com/office/drawing/2014/main" id="{00000000-0008-0000-3200-00003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5" name="Option Button 1594">
          <a:extLst>
            <a:ext uri="{FF2B5EF4-FFF2-40B4-BE49-F238E27FC236}">
              <a16:creationId xmlns:a16="http://schemas.microsoft.com/office/drawing/2014/main" id="{00000000-0008-0000-3200-00003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6" name="Group Box 1595" descr="Group Box 5">
          <a:extLst>
            <a:ext uri="{FF2B5EF4-FFF2-40B4-BE49-F238E27FC236}">
              <a16:creationId xmlns:a16="http://schemas.microsoft.com/office/drawing/2014/main" id="{00000000-0008-0000-3200-00003C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339</xdr:row>
      <xdr:rowOff>28440</xdr:rowOff>
    </xdr:from>
    <xdr:to>
      <xdr:col>7</xdr:col>
      <xdr:colOff>-363960</xdr:colOff>
      <xdr:row>340</xdr:row>
      <xdr:rowOff>0</xdr:rowOff>
    </xdr:to>
    <xdr:sp macro="" textlink="">
      <xdr:nvSpPr>
        <xdr:cNvPr id="1597" name="Option Button 1596">
          <a:extLst>
            <a:ext uri="{FF2B5EF4-FFF2-40B4-BE49-F238E27FC236}">
              <a16:creationId xmlns:a16="http://schemas.microsoft.com/office/drawing/2014/main" id="{00000000-0008-0000-3200-00003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8" name="Option Button 1597">
          <a:extLst>
            <a:ext uri="{FF2B5EF4-FFF2-40B4-BE49-F238E27FC236}">
              <a16:creationId xmlns:a16="http://schemas.microsoft.com/office/drawing/2014/main" id="{00000000-0008-0000-3200-00003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9" name="Option Button 1598">
          <a:extLst>
            <a:ext uri="{FF2B5EF4-FFF2-40B4-BE49-F238E27FC236}">
              <a16:creationId xmlns:a16="http://schemas.microsoft.com/office/drawing/2014/main" id="{00000000-0008-0000-3200-00003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0" name="Option Button 1599">
          <a:extLst>
            <a:ext uri="{FF2B5EF4-FFF2-40B4-BE49-F238E27FC236}">
              <a16:creationId xmlns:a16="http://schemas.microsoft.com/office/drawing/2014/main" id="{00000000-0008-0000-3200-00004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1" name="Group Box 1600" descr="Group Box 5">
          <a:extLst>
            <a:ext uri="{FF2B5EF4-FFF2-40B4-BE49-F238E27FC236}">
              <a16:creationId xmlns:a16="http://schemas.microsoft.com/office/drawing/2014/main" id="{00000000-0008-0000-3200-000041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340</xdr:row>
      <xdr:rowOff>28440</xdr:rowOff>
    </xdr:from>
    <xdr:to>
      <xdr:col>7</xdr:col>
      <xdr:colOff>-363960</xdr:colOff>
      <xdr:row>341</xdr:row>
      <xdr:rowOff>0</xdr:rowOff>
    </xdr:to>
    <xdr:sp macro="" textlink="">
      <xdr:nvSpPr>
        <xdr:cNvPr id="1602" name="Option Button 1601">
          <a:extLst>
            <a:ext uri="{FF2B5EF4-FFF2-40B4-BE49-F238E27FC236}">
              <a16:creationId xmlns:a16="http://schemas.microsoft.com/office/drawing/2014/main" id="{00000000-0008-0000-3200-00004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3" name="Option Button 1602">
          <a:extLst>
            <a:ext uri="{FF2B5EF4-FFF2-40B4-BE49-F238E27FC236}">
              <a16:creationId xmlns:a16="http://schemas.microsoft.com/office/drawing/2014/main" id="{00000000-0008-0000-3200-00004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4" name="Option Button 1603">
          <a:extLst>
            <a:ext uri="{FF2B5EF4-FFF2-40B4-BE49-F238E27FC236}">
              <a16:creationId xmlns:a16="http://schemas.microsoft.com/office/drawing/2014/main" id="{00000000-0008-0000-3200-00004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5" name="Option Button 1604">
          <a:extLst>
            <a:ext uri="{FF2B5EF4-FFF2-40B4-BE49-F238E27FC236}">
              <a16:creationId xmlns:a16="http://schemas.microsoft.com/office/drawing/2014/main" id="{00000000-0008-0000-3200-00004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6" name="Group Box 1605" descr="Group Box 5">
          <a:extLst>
            <a:ext uri="{FF2B5EF4-FFF2-40B4-BE49-F238E27FC236}">
              <a16:creationId xmlns:a16="http://schemas.microsoft.com/office/drawing/2014/main" id="{00000000-0008-0000-3200-000046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341</xdr:row>
      <xdr:rowOff>28440</xdr:rowOff>
    </xdr:from>
    <xdr:to>
      <xdr:col>7</xdr:col>
      <xdr:colOff>-363960</xdr:colOff>
      <xdr:row>342</xdr:row>
      <xdr:rowOff>0</xdr:rowOff>
    </xdr:to>
    <xdr:sp macro="" textlink="">
      <xdr:nvSpPr>
        <xdr:cNvPr id="1607" name="Option Button 1606">
          <a:extLst>
            <a:ext uri="{FF2B5EF4-FFF2-40B4-BE49-F238E27FC236}">
              <a16:creationId xmlns:a16="http://schemas.microsoft.com/office/drawing/2014/main" id="{00000000-0008-0000-3200-00004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8" name="Option Button 1607">
          <a:extLst>
            <a:ext uri="{FF2B5EF4-FFF2-40B4-BE49-F238E27FC236}">
              <a16:creationId xmlns:a16="http://schemas.microsoft.com/office/drawing/2014/main" id="{00000000-0008-0000-3200-00004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9" name="Option Button 1608">
          <a:extLst>
            <a:ext uri="{FF2B5EF4-FFF2-40B4-BE49-F238E27FC236}">
              <a16:creationId xmlns:a16="http://schemas.microsoft.com/office/drawing/2014/main" id="{00000000-0008-0000-3200-00004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0" name="Option Button 1609">
          <a:extLst>
            <a:ext uri="{FF2B5EF4-FFF2-40B4-BE49-F238E27FC236}">
              <a16:creationId xmlns:a16="http://schemas.microsoft.com/office/drawing/2014/main" id="{00000000-0008-0000-3200-00004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1" name="Group Box 1610" descr="Group Box 5">
          <a:extLst>
            <a:ext uri="{FF2B5EF4-FFF2-40B4-BE49-F238E27FC236}">
              <a16:creationId xmlns:a16="http://schemas.microsoft.com/office/drawing/2014/main" id="{00000000-0008-0000-3200-00004B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342</xdr:row>
      <xdr:rowOff>28440</xdr:rowOff>
    </xdr:from>
    <xdr:to>
      <xdr:col>7</xdr:col>
      <xdr:colOff>-363960</xdr:colOff>
      <xdr:row>343</xdr:row>
      <xdr:rowOff>0</xdr:rowOff>
    </xdr:to>
    <xdr:sp macro="" textlink="">
      <xdr:nvSpPr>
        <xdr:cNvPr id="1612" name="Option Button 1611">
          <a:extLst>
            <a:ext uri="{FF2B5EF4-FFF2-40B4-BE49-F238E27FC236}">
              <a16:creationId xmlns:a16="http://schemas.microsoft.com/office/drawing/2014/main" id="{00000000-0008-0000-3200-00004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3" name="Option Button 1612">
          <a:extLst>
            <a:ext uri="{FF2B5EF4-FFF2-40B4-BE49-F238E27FC236}">
              <a16:creationId xmlns:a16="http://schemas.microsoft.com/office/drawing/2014/main" id="{00000000-0008-0000-3200-00004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4" name="Option Button 1613">
          <a:extLst>
            <a:ext uri="{FF2B5EF4-FFF2-40B4-BE49-F238E27FC236}">
              <a16:creationId xmlns:a16="http://schemas.microsoft.com/office/drawing/2014/main" id="{00000000-0008-0000-3200-00004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5" name="Option Button 1614">
          <a:extLst>
            <a:ext uri="{FF2B5EF4-FFF2-40B4-BE49-F238E27FC236}">
              <a16:creationId xmlns:a16="http://schemas.microsoft.com/office/drawing/2014/main" id="{00000000-0008-0000-3200-00004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6" name="Group Box 1615" descr="Group Box 5">
          <a:extLst>
            <a:ext uri="{FF2B5EF4-FFF2-40B4-BE49-F238E27FC236}">
              <a16:creationId xmlns:a16="http://schemas.microsoft.com/office/drawing/2014/main" id="{00000000-0008-0000-3200-000050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343</xdr:row>
      <xdr:rowOff>28440</xdr:rowOff>
    </xdr:from>
    <xdr:to>
      <xdr:col>7</xdr:col>
      <xdr:colOff>-363960</xdr:colOff>
      <xdr:row>344</xdr:row>
      <xdr:rowOff>0</xdr:rowOff>
    </xdr:to>
    <xdr:sp macro="" textlink="">
      <xdr:nvSpPr>
        <xdr:cNvPr id="1617" name="Option Button 1616">
          <a:extLst>
            <a:ext uri="{FF2B5EF4-FFF2-40B4-BE49-F238E27FC236}">
              <a16:creationId xmlns:a16="http://schemas.microsoft.com/office/drawing/2014/main" id="{00000000-0008-0000-3200-00005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8" name="Option Button 1617">
          <a:extLst>
            <a:ext uri="{FF2B5EF4-FFF2-40B4-BE49-F238E27FC236}">
              <a16:creationId xmlns:a16="http://schemas.microsoft.com/office/drawing/2014/main" id="{00000000-0008-0000-3200-00005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9" name="Option Button 1618">
          <a:extLst>
            <a:ext uri="{FF2B5EF4-FFF2-40B4-BE49-F238E27FC236}">
              <a16:creationId xmlns:a16="http://schemas.microsoft.com/office/drawing/2014/main" id="{00000000-0008-0000-3200-00005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0" name="Option Button 1619">
          <a:extLst>
            <a:ext uri="{FF2B5EF4-FFF2-40B4-BE49-F238E27FC236}">
              <a16:creationId xmlns:a16="http://schemas.microsoft.com/office/drawing/2014/main" id="{00000000-0008-0000-3200-00005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1" name="Group Box 1620" descr="Group Box 5">
          <a:extLst>
            <a:ext uri="{FF2B5EF4-FFF2-40B4-BE49-F238E27FC236}">
              <a16:creationId xmlns:a16="http://schemas.microsoft.com/office/drawing/2014/main" id="{00000000-0008-0000-3200-000055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344</xdr:row>
      <xdr:rowOff>28440</xdr:rowOff>
    </xdr:from>
    <xdr:to>
      <xdr:col>7</xdr:col>
      <xdr:colOff>-363960</xdr:colOff>
      <xdr:row>345</xdr:row>
      <xdr:rowOff>0</xdr:rowOff>
    </xdr:to>
    <xdr:sp macro="" textlink="">
      <xdr:nvSpPr>
        <xdr:cNvPr id="1622" name="Option Button 1621">
          <a:extLst>
            <a:ext uri="{FF2B5EF4-FFF2-40B4-BE49-F238E27FC236}">
              <a16:creationId xmlns:a16="http://schemas.microsoft.com/office/drawing/2014/main" id="{00000000-0008-0000-3200-00005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3" name="Option Button 1622">
          <a:extLst>
            <a:ext uri="{FF2B5EF4-FFF2-40B4-BE49-F238E27FC236}">
              <a16:creationId xmlns:a16="http://schemas.microsoft.com/office/drawing/2014/main" id="{00000000-0008-0000-3200-00005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4" name="Option Button 1623">
          <a:extLst>
            <a:ext uri="{FF2B5EF4-FFF2-40B4-BE49-F238E27FC236}">
              <a16:creationId xmlns:a16="http://schemas.microsoft.com/office/drawing/2014/main" id="{00000000-0008-0000-3200-00005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5" name="Option Button 1624">
          <a:extLst>
            <a:ext uri="{FF2B5EF4-FFF2-40B4-BE49-F238E27FC236}">
              <a16:creationId xmlns:a16="http://schemas.microsoft.com/office/drawing/2014/main" id="{00000000-0008-0000-3200-00005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6" name="Group Box 1625" descr="Group Box 5">
          <a:extLst>
            <a:ext uri="{FF2B5EF4-FFF2-40B4-BE49-F238E27FC236}">
              <a16:creationId xmlns:a16="http://schemas.microsoft.com/office/drawing/2014/main" id="{00000000-0008-0000-3200-00005A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345</xdr:row>
      <xdr:rowOff>28440</xdr:rowOff>
    </xdr:from>
    <xdr:to>
      <xdr:col>7</xdr:col>
      <xdr:colOff>-363960</xdr:colOff>
      <xdr:row>346</xdr:row>
      <xdr:rowOff>0</xdr:rowOff>
    </xdr:to>
    <xdr:sp macro="" textlink="">
      <xdr:nvSpPr>
        <xdr:cNvPr id="1627" name="Option Button 1626">
          <a:extLst>
            <a:ext uri="{FF2B5EF4-FFF2-40B4-BE49-F238E27FC236}">
              <a16:creationId xmlns:a16="http://schemas.microsoft.com/office/drawing/2014/main" id="{00000000-0008-0000-3200-00005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8" name="Option Button 1627">
          <a:extLst>
            <a:ext uri="{FF2B5EF4-FFF2-40B4-BE49-F238E27FC236}">
              <a16:creationId xmlns:a16="http://schemas.microsoft.com/office/drawing/2014/main" id="{00000000-0008-0000-3200-00005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9" name="Option Button 1628">
          <a:extLst>
            <a:ext uri="{FF2B5EF4-FFF2-40B4-BE49-F238E27FC236}">
              <a16:creationId xmlns:a16="http://schemas.microsoft.com/office/drawing/2014/main" id="{00000000-0008-0000-3200-00005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0" name="Option Button 1629">
          <a:extLst>
            <a:ext uri="{FF2B5EF4-FFF2-40B4-BE49-F238E27FC236}">
              <a16:creationId xmlns:a16="http://schemas.microsoft.com/office/drawing/2014/main" id="{00000000-0008-0000-3200-00005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1" name="Group Box 1630" descr="Group Box 5">
          <a:extLst>
            <a:ext uri="{FF2B5EF4-FFF2-40B4-BE49-F238E27FC236}">
              <a16:creationId xmlns:a16="http://schemas.microsoft.com/office/drawing/2014/main" id="{00000000-0008-0000-3200-00005F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346</xdr:row>
      <xdr:rowOff>28440</xdr:rowOff>
    </xdr:from>
    <xdr:to>
      <xdr:col>7</xdr:col>
      <xdr:colOff>-363960</xdr:colOff>
      <xdr:row>347</xdr:row>
      <xdr:rowOff>0</xdr:rowOff>
    </xdr:to>
    <xdr:sp macro="" textlink="">
      <xdr:nvSpPr>
        <xdr:cNvPr id="1632" name="Option Button 1631">
          <a:extLst>
            <a:ext uri="{FF2B5EF4-FFF2-40B4-BE49-F238E27FC236}">
              <a16:creationId xmlns:a16="http://schemas.microsoft.com/office/drawing/2014/main" id="{00000000-0008-0000-3200-00006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3" name="Option Button 1632">
          <a:extLst>
            <a:ext uri="{FF2B5EF4-FFF2-40B4-BE49-F238E27FC236}">
              <a16:creationId xmlns:a16="http://schemas.microsoft.com/office/drawing/2014/main" id="{00000000-0008-0000-3200-00006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4" name="Option Button 1633">
          <a:extLst>
            <a:ext uri="{FF2B5EF4-FFF2-40B4-BE49-F238E27FC236}">
              <a16:creationId xmlns:a16="http://schemas.microsoft.com/office/drawing/2014/main" id="{00000000-0008-0000-3200-00006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5" name="Option Button 1634">
          <a:extLst>
            <a:ext uri="{FF2B5EF4-FFF2-40B4-BE49-F238E27FC236}">
              <a16:creationId xmlns:a16="http://schemas.microsoft.com/office/drawing/2014/main" id="{00000000-0008-0000-3200-00006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6" name="Group Box 1635" descr="Group Box 5">
          <a:extLst>
            <a:ext uri="{FF2B5EF4-FFF2-40B4-BE49-F238E27FC236}">
              <a16:creationId xmlns:a16="http://schemas.microsoft.com/office/drawing/2014/main" id="{00000000-0008-0000-3200-000064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347</xdr:row>
      <xdr:rowOff>28440</xdr:rowOff>
    </xdr:from>
    <xdr:to>
      <xdr:col>7</xdr:col>
      <xdr:colOff>-363960</xdr:colOff>
      <xdr:row>348</xdr:row>
      <xdr:rowOff>0</xdr:rowOff>
    </xdr:to>
    <xdr:sp macro="" textlink="">
      <xdr:nvSpPr>
        <xdr:cNvPr id="1637" name="Option Button 1636">
          <a:extLst>
            <a:ext uri="{FF2B5EF4-FFF2-40B4-BE49-F238E27FC236}">
              <a16:creationId xmlns:a16="http://schemas.microsoft.com/office/drawing/2014/main" id="{00000000-0008-0000-3200-00006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8" name="Option Button 1637">
          <a:extLst>
            <a:ext uri="{FF2B5EF4-FFF2-40B4-BE49-F238E27FC236}">
              <a16:creationId xmlns:a16="http://schemas.microsoft.com/office/drawing/2014/main" id="{00000000-0008-0000-3200-00006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9" name="Option Button 1638">
          <a:extLst>
            <a:ext uri="{FF2B5EF4-FFF2-40B4-BE49-F238E27FC236}">
              <a16:creationId xmlns:a16="http://schemas.microsoft.com/office/drawing/2014/main" id="{00000000-0008-0000-3200-00006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0" name="Option Button 1639">
          <a:extLst>
            <a:ext uri="{FF2B5EF4-FFF2-40B4-BE49-F238E27FC236}">
              <a16:creationId xmlns:a16="http://schemas.microsoft.com/office/drawing/2014/main" id="{00000000-0008-0000-3200-00006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1" name="Group Box 1640" descr="Group Box 5">
          <a:extLst>
            <a:ext uri="{FF2B5EF4-FFF2-40B4-BE49-F238E27FC236}">
              <a16:creationId xmlns:a16="http://schemas.microsoft.com/office/drawing/2014/main" id="{00000000-0008-0000-3200-000069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348</xdr:row>
      <xdr:rowOff>28440</xdr:rowOff>
    </xdr:from>
    <xdr:to>
      <xdr:col>7</xdr:col>
      <xdr:colOff>-363960</xdr:colOff>
      <xdr:row>349</xdr:row>
      <xdr:rowOff>0</xdr:rowOff>
    </xdr:to>
    <xdr:sp macro="" textlink="">
      <xdr:nvSpPr>
        <xdr:cNvPr id="1642" name="Option Button 1641">
          <a:extLst>
            <a:ext uri="{FF2B5EF4-FFF2-40B4-BE49-F238E27FC236}">
              <a16:creationId xmlns:a16="http://schemas.microsoft.com/office/drawing/2014/main" id="{00000000-0008-0000-3200-00006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3" name="Option Button 1642">
          <a:extLst>
            <a:ext uri="{FF2B5EF4-FFF2-40B4-BE49-F238E27FC236}">
              <a16:creationId xmlns:a16="http://schemas.microsoft.com/office/drawing/2014/main" id="{00000000-0008-0000-3200-00006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4" name="Option Button 1643">
          <a:extLst>
            <a:ext uri="{FF2B5EF4-FFF2-40B4-BE49-F238E27FC236}">
              <a16:creationId xmlns:a16="http://schemas.microsoft.com/office/drawing/2014/main" id="{00000000-0008-0000-3200-00006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5" name="Option Button 1644">
          <a:extLst>
            <a:ext uri="{FF2B5EF4-FFF2-40B4-BE49-F238E27FC236}">
              <a16:creationId xmlns:a16="http://schemas.microsoft.com/office/drawing/2014/main" id="{00000000-0008-0000-3200-00006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6" name="Group Box 1645" descr="Group Box 5">
          <a:extLst>
            <a:ext uri="{FF2B5EF4-FFF2-40B4-BE49-F238E27FC236}">
              <a16:creationId xmlns:a16="http://schemas.microsoft.com/office/drawing/2014/main" id="{00000000-0008-0000-3200-00006E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349</xdr:row>
      <xdr:rowOff>28440</xdr:rowOff>
    </xdr:from>
    <xdr:to>
      <xdr:col>7</xdr:col>
      <xdr:colOff>-363960</xdr:colOff>
      <xdr:row>350</xdr:row>
      <xdr:rowOff>0</xdr:rowOff>
    </xdr:to>
    <xdr:sp macro="" textlink="">
      <xdr:nvSpPr>
        <xdr:cNvPr id="1647" name="Option Button 1646">
          <a:extLst>
            <a:ext uri="{FF2B5EF4-FFF2-40B4-BE49-F238E27FC236}">
              <a16:creationId xmlns:a16="http://schemas.microsoft.com/office/drawing/2014/main" id="{00000000-0008-0000-3200-00006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8" name="Option Button 1647">
          <a:extLst>
            <a:ext uri="{FF2B5EF4-FFF2-40B4-BE49-F238E27FC236}">
              <a16:creationId xmlns:a16="http://schemas.microsoft.com/office/drawing/2014/main" id="{00000000-0008-0000-3200-00007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9" name="Option Button 1648">
          <a:extLst>
            <a:ext uri="{FF2B5EF4-FFF2-40B4-BE49-F238E27FC236}">
              <a16:creationId xmlns:a16="http://schemas.microsoft.com/office/drawing/2014/main" id="{00000000-0008-0000-3200-00007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0" name="Option Button 1649">
          <a:extLst>
            <a:ext uri="{FF2B5EF4-FFF2-40B4-BE49-F238E27FC236}">
              <a16:creationId xmlns:a16="http://schemas.microsoft.com/office/drawing/2014/main" id="{00000000-0008-0000-3200-00007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1" name="Group Box 1650" descr="Group Box 5">
          <a:extLst>
            <a:ext uri="{FF2B5EF4-FFF2-40B4-BE49-F238E27FC236}">
              <a16:creationId xmlns:a16="http://schemas.microsoft.com/office/drawing/2014/main" id="{00000000-0008-0000-3200-000073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350</xdr:row>
      <xdr:rowOff>28440</xdr:rowOff>
    </xdr:from>
    <xdr:to>
      <xdr:col>7</xdr:col>
      <xdr:colOff>-363960</xdr:colOff>
      <xdr:row>351</xdr:row>
      <xdr:rowOff>0</xdr:rowOff>
    </xdr:to>
    <xdr:sp macro="" textlink="">
      <xdr:nvSpPr>
        <xdr:cNvPr id="1652" name="Option Button 1651">
          <a:extLst>
            <a:ext uri="{FF2B5EF4-FFF2-40B4-BE49-F238E27FC236}">
              <a16:creationId xmlns:a16="http://schemas.microsoft.com/office/drawing/2014/main" id="{00000000-0008-0000-3200-00007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3" name="Option Button 1652">
          <a:extLst>
            <a:ext uri="{FF2B5EF4-FFF2-40B4-BE49-F238E27FC236}">
              <a16:creationId xmlns:a16="http://schemas.microsoft.com/office/drawing/2014/main" id="{00000000-0008-0000-3200-00007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4" name="Option Button 1653">
          <a:extLst>
            <a:ext uri="{FF2B5EF4-FFF2-40B4-BE49-F238E27FC236}">
              <a16:creationId xmlns:a16="http://schemas.microsoft.com/office/drawing/2014/main" id="{00000000-0008-0000-3200-00007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5" name="Option Button 1654">
          <a:extLst>
            <a:ext uri="{FF2B5EF4-FFF2-40B4-BE49-F238E27FC236}">
              <a16:creationId xmlns:a16="http://schemas.microsoft.com/office/drawing/2014/main" id="{00000000-0008-0000-3200-00007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6" name="Group Box 1655" descr="Group Box 5">
          <a:extLst>
            <a:ext uri="{FF2B5EF4-FFF2-40B4-BE49-F238E27FC236}">
              <a16:creationId xmlns:a16="http://schemas.microsoft.com/office/drawing/2014/main" id="{00000000-0008-0000-3200-000078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351</xdr:row>
      <xdr:rowOff>28440</xdr:rowOff>
    </xdr:from>
    <xdr:to>
      <xdr:col>7</xdr:col>
      <xdr:colOff>-363960</xdr:colOff>
      <xdr:row>352</xdr:row>
      <xdr:rowOff>0</xdr:rowOff>
    </xdr:to>
    <xdr:sp macro="" textlink="">
      <xdr:nvSpPr>
        <xdr:cNvPr id="1657" name="Option Button 1656">
          <a:extLst>
            <a:ext uri="{FF2B5EF4-FFF2-40B4-BE49-F238E27FC236}">
              <a16:creationId xmlns:a16="http://schemas.microsoft.com/office/drawing/2014/main" id="{00000000-0008-0000-3200-00007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8" name="Option Button 1657">
          <a:extLst>
            <a:ext uri="{FF2B5EF4-FFF2-40B4-BE49-F238E27FC236}">
              <a16:creationId xmlns:a16="http://schemas.microsoft.com/office/drawing/2014/main" id="{00000000-0008-0000-3200-00007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9" name="Option Button 1658">
          <a:extLst>
            <a:ext uri="{FF2B5EF4-FFF2-40B4-BE49-F238E27FC236}">
              <a16:creationId xmlns:a16="http://schemas.microsoft.com/office/drawing/2014/main" id="{00000000-0008-0000-3200-00007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0" name="Option Button 1659">
          <a:extLst>
            <a:ext uri="{FF2B5EF4-FFF2-40B4-BE49-F238E27FC236}">
              <a16:creationId xmlns:a16="http://schemas.microsoft.com/office/drawing/2014/main" id="{00000000-0008-0000-3200-00007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1" name="Group Box 1660" descr="Group Box 5">
          <a:extLst>
            <a:ext uri="{FF2B5EF4-FFF2-40B4-BE49-F238E27FC236}">
              <a16:creationId xmlns:a16="http://schemas.microsoft.com/office/drawing/2014/main" id="{00000000-0008-0000-3200-00007D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352</xdr:row>
      <xdr:rowOff>28440</xdr:rowOff>
    </xdr:from>
    <xdr:to>
      <xdr:col>7</xdr:col>
      <xdr:colOff>-363960</xdr:colOff>
      <xdr:row>353</xdr:row>
      <xdr:rowOff>0</xdr:rowOff>
    </xdr:to>
    <xdr:sp macro="" textlink="">
      <xdr:nvSpPr>
        <xdr:cNvPr id="1662" name="Option Button 1661">
          <a:extLst>
            <a:ext uri="{FF2B5EF4-FFF2-40B4-BE49-F238E27FC236}">
              <a16:creationId xmlns:a16="http://schemas.microsoft.com/office/drawing/2014/main" id="{00000000-0008-0000-3200-00007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3" name="Option Button 1662">
          <a:extLst>
            <a:ext uri="{FF2B5EF4-FFF2-40B4-BE49-F238E27FC236}">
              <a16:creationId xmlns:a16="http://schemas.microsoft.com/office/drawing/2014/main" id="{00000000-0008-0000-3200-00007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4" name="Option Button 1663">
          <a:extLst>
            <a:ext uri="{FF2B5EF4-FFF2-40B4-BE49-F238E27FC236}">
              <a16:creationId xmlns:a16="http://schemas.microsoft.com/office/drawing/2014/main" id="{00000000-0008-0000-3200-00008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5" name="Option Button 1664">
          <a:extLst>
            <a:ext uri="{FF2B5EF4-FFF2-40B4-BE49-F238E27FC236}">
              <a16:creationId xmlns:a16="http://schemas.microsoft.com/office/drawing/2014/main" id="{00000000-0008-0000-3200-00008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6" name="Group Box 1665" descr="Group Box 5">
          <a:extLst>
            <a:ext uri="{FF2B5EF4-FFF2-40B4-BE49-F238E27FC236}">
              <a16:creationId xmlns:a16="http://schemas.microsoft.com/office/drawing/2014/main" id="{00000000-0008-0000-3200-000082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353</xdr:row>
      <xdr:rowOff>28440</xdr:rowOff>
    </xdr:from>
    <xdr:to>
      <xdr:col>7</xdr:col>
      <xdr:colOff>-363960</xdr:colOff>
      <xdr:row>354</xdr:row>
      <xdr:rowOff>0</xdr:rowOff>
    </xdr:to>
    <xdr:sp macro="" textlink="">
      <xdr:nvSpPr>
        <xdr:cNvPr id="1667" name="Option Button 1666">
          <a:extLst>
            <a:ext uri="{FF2B5EF4-FFF2-40B4-BE49-F238E27FC236}">
              <a16:creationId xmlns:a16="http://schemas.microsoft.com/office/drawing/2014/main" id="{00000000-0008-0000-3200-00008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8" name="Option Button 1667">
          <a:extLst>
            <a:ext uri="{FF2B5EF4-FFF2-40B4-BE49-F238E27FC236}">
              <a16:creationId xmlns:a16="http://schemas.microsoft.com/office/drawing/2014/main" id="{00000000-0008-0000-3200-00008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9" name="Option Button 1668">
          <a:extLst>
            <a:ext uri="{FF2B5EF4-FFF2-40B4-BE49-F238E27FC236}">
              <a16:creationId xmlns:a16="http://schemas.microsoft.com/office/drawing/2014/main" id="{00000000-0008-0000-3200-00008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0" name="Option Button 1669">
          <a:extLst>
            <a:ext uri="{FF2B5EF4-FFF2-40B4-BE49-F238E27FC236}">
              <a16:creationId xmlns:a16="http://schemas.microsoft.com/office/drawing/2014/main" id="{00000000-0008-0000-3200-00008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1" name="Group Box 1670" descr="Group Box 5">
          <a:extLst>
            <a:ext uri="{FF2B5EF4-FFF2-40B4-BE49-F238E27FC236}">
              <a16:creationId xmlns:a16="http://schemas.microsoft.com/office/drawing/2014/main" id="{00000000-0008-0000-3200-000087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354</xdr:row>
      <xdr:rowOff>28440</xdr:rowOff>
    </xdr:from>
    <xdr:to>
      <xdr:col>7</xdr:col>
      <xdr:colOff>-363960</xdr:colOff>
      <xdr:row>355</xdr:row>
      <xdr:rowOff>0</xdr:rowOff>
    </xdr:to>
    <xdr:sp macro="" textlink="">
      <xdr:nvSpPr>
        <xdr:cNvPr id="1672" name="Option Button 1671">
          <a:extLst>
            <a:ext uri="{FF2B5EF4-FFF2-40B4-BE49-F238E27FC236}">
              <a16:creationId xmlns:a16="http://schemas.microsoft.com/office/drawing/2014/main" id="{00000000-0008-0000-3200-00008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3" name="Option Button 1672">
          <a:extLst>
            <a:ext uri="{FF2B5EF4-FFF2-40B4-BE49-F238E27FC236}">
              <a16:creationId xmlns:a16="http://schemas.microsoft.com/office/drawing/2014/main" id="{00000000-0008-0000-3200-00008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4" name="Option Button 1673">
          <a:extLst>
            <a:ext uri="{FF2B5EF4-FFF2-40B4-BE49-F238E27FC236}">
              <a16:creationId xmlns:a16="http://schemas.microsoft.com/office/drawing/2014/main" id="{00000000-0008-0000-3200-00008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5" name="Option Button 1674">
          <a:extLst>
            <a:ext uri="{FF2B5EF4-FFF2-40B4-BE49-F238E27FC236}">
              <a16:creationId xmlns:a16="http://schemas.microsoft.com/office/drawing/2014/main" id="{00000000-0008-0000-3200-00008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6" name="Group Box 1675" descr="Group Box 5">
          <a:extLst>
            <a:ext uri="{FF2B5EF4-FFF2-40B4-BE49-F238E27FC236}">
              <a16:creationId xmlns:a16="http://schemas.microsoft.com/office/drawing/2014/main" id="{00000000-0008-0000-3200-00008C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355</xdr:row>
      <xdr:rowOff>28440</xdr:rowOff>
    </xdr:from>
    <xdr:to>
      <xdr:col>7</xdr:col>
      <xdr:colOff>-363960</xdr:colOff>
      <xdr:row>356</xdr:row>
      <xdr:rowOff>0</xdr:rowOff>
    </xdr:to>
    <xdr:sp macro="" textlink="">
      <xdr:nvSpPr>
        <xdr:cNvPr id="1677" name="Option Button 1676">
          <a:extLst>
            <a:ext uri="{FF2B5EF4-FFF2-40B4-BE49-F238E27FC236}">
              <a16:creationId xmlns:a16="http://schemas.microsoft.com/office/drawing/2014/main" id="{00000000-0008-0000-3200-00008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8" name="Option Button 1677">
          <a:extLst>
            <a:ext uri="{FF2B5EF4-FFF2-40B4-BE49-F238E27FC236}">
              <a16:creationId xmlns:a16="http://schemas.microsoft.com/office/drawing/2014/main" id="{00000000-0008-0000-3200-00008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9" name="Option Button 1678">
          <a:extLst>
            <a:ext uri="{FF2B5EF4-FFF2-40B4-BE49-F238E27FC236}">
              <a16:creationId xmlns:a16="http://schemas.microsoft.com/office/drawing/2014/main" id="{00000000-0008-0000-3200-00008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0" name="Option Button 1679">
          <a:extLst>
            <a:ext uri="{FF2B5EF4-FFF2-40B4-BE49-F238E27FC236}">
              <a16:creationId xmlns:a16="http://schemas.microsoft.com/office/drawing/2014/main" id="{00000000-0008-0000-3200-00009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1" name="Group Box 1680" descr="Group Box 5">
          <a:extLst>
            <a:ext uri="{FF2B5EF4-FFF2-40B4-BE49-F238E27FC236}">
              <a16:creationId xmlns:a16="http://schemas.microsoft.com/office/drawing/2014/main" id="{00000000-0008-0000-3200-000091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356</xdr:row>
      <xdr:rowOff>28440</xdr:rowOff>
    </xdr:from>
    <xdr:to>
      <xdr:col>7</xdr:col>
      <xdr:colOff>-363960</xdr:colOff>
      <xdr:row>357</xdr:row>
      <xdr:rowOff>0</xdr:rowOff>
    </xdr:to>
    <xdr:sp macro="" textlink="">
      <xdr:nvSpPr>
        <xdr:cNvPr id="1682" name="Option Button 1681">
          <a:extLst>
            <a:ext uri="{FF2B5EF4-FFF2-40B4-BE49-F238E27FC236}">
              <a16:creationId xmlns:a16="http://schemas.microsoft.com/office/drawing/2014/main" id="{00000000-0008-0000-3200-00009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3" name="Option Button 1682">
          <a:extLst>
            <a:ext uri="{FF2B5EF4-FFF2-40B4-BE49-F238E27FC236}">
              <a16:creationId xmlns:a16="http://schemas.microsoft.com/office/drawing/2014/main" id="{00000000-0008-0000-3200-00009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4" name="Option Button 1683">
          <a:extLst>
            <a:ext uri="{FF2B5EF4-FFF2-40B4-BE49-F238E27FC236}">
              <a16:creationId xmlns:a16="http://schemas.microsoft.com/office/drawing/2014/main" id="{00000000-0008-0000-3200-00009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5" name="Option Button 1684">
          <a:extLst>
            <a:ext uri="{FF2B5EF4-FFF2-40B4-BE49-F238E27FC236}">
              <a16:creationId xmlns:a16="http://schemas.microsoft.com/office/drawing/2014/main" id="{00000000-0008-0000-3200-00009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6" name="Group Box 1685" descr="Group Box 5">
          <a:extLst>
            <a:ext uri="{FF2B5EF4-FFF2-40B4-BE49-F238E27FC236}">
              <a16:creationId xmlns:a16="http://schemas.microsoft.com/office/drawing/2014/main" id="{00000000-0008-0000-3200-000096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357</xdr:row>
      <xdr:rowOff>28440</xdr:rowOff>
    </xdr:from>
    <xdr:to>
      <xdr:col>7</xdr:col>
      <xdr:colOff>-363960</xdr:colOff>
      <xdr:row>358</xdr:row>
      <xdr:rowOff>0</xdr:rowOff>
    </xdr:to>
    <xdr:sp macro="" textlink="">
      <xdr:nvSpPr>
        <xdr:cNvPr id="1687" name="Option Button 1686">
          <a:extLst>
            <a:ext uri="{FF2B5EF4-FFF2-40B4-BE49-F238E27FC236}">
              <a16:creationId xmlns:a16="http://schemas.microsoft.com/office/drawing/2014/main" id="{00000000-0008-0000-3200-00009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8" name="Option Button 1687">
          <a:extLst>
            <a:ext uri="{FF2B5EF4-FFF2-40B4-BE49-F238E27FC236}">
              <a16:creationId xmlns:a16="http://schemas.microsoft.com/office/drawing/2014/main" id="{00000000-0008-0000-3200-00009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9" name="Option Button 1688">
          <a:extLst>
            <a:ext uri="{FF2B5EF4-FFF2-40B4-BE49-F238E27FC236}">
              <a16:creationId xmlns:a16="http://schemas.microsoft.com/office/drawing/2014/main" id="{00000000-0008-0000-3200-00009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0" name="Option Button 1689">
          <a:extLst>
            <a:ext uri="{FF2B5EF4-FFF2-40B4-BE49-F238E27FC236}">
              <a16:creationId xmlns:a16="http://schemas.microsoft.com/office/drawing/2014/main" id="{00000000-0008-0000-3200-00009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1" name="Group Box 1690" descr="Group Box 5">
          <a:extLst>
            <a:ext uri="{FF2B5EF4-FFF2-40B4-BE49-F238E27FC236}">
              <a16:creationId xmlns:a16="http://schemas.microsoft.com/office/drawing/2014/main" id="{00000000-0008-0000-3200-00009B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358</xdr:row>
      <xdr:rowOff>28440</xdr:rowOff>
    </xdr:from>
    <xdr:to>
      <xdr:col>7</xdr:col>
      <xdr:colOff>-363960</xdr:colOff>
      <xdr:row>359</xdr:row>
      <xdr:rowOff>0</xdr:rowOff>
    </xdr:to>
    <xdr:sp macro="" textlink="">
      <xdr:nvSpPr>
        <xdr:cNvPr id="1692" name="Option Button 1691">
          <a:extLst>
            <a:ext uri="{FF2B5EF4-FFF2-40B4-BE49-F238E27FC236}">
              <a16:creationId xmlns:a16="http://schemas.microsoft.com/office/drawing/2014/main" id="{00000000-0008-0000-3200-00009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3" name="Option Button 1692">
          <a:extLst>
            <a:ext uri="{FF2B5EF4-FFF2-40B4-BE49-F238E27FC236}">
              <a16:creationId xmlns:a16="http://schemas.microsoft.com/office/drawing/2014/main" id="{00000000-0008-0000-3200-00009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4" name="Option Button 1693">
          <a:extLst>
            <a:ext uri="{FF2B5EF4-FFF2-40B4-BE49-F238E27FC236}">
              <a16:creationId xmlns:a16="http://schemas.microsoft.com/office/drawing/2014/main" id="{00000000-0008-0000-3200-00009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5" name="Option Button 1694">
          <a:extLst>
            <a:ext uri="{FF2B5EF4-FFF2-40B4-BE49-F238E27FC236}">
              <a16:creationId xmlns:a16="http://schemas.microsoft.com/office/drawing/2014/main" id="{00000000-0008-0000-3200-00009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6" name="Group Box 1695" descr="Group Box 5">
          <a:extLst>
            <a:ext uri="{FF2B5EF4-FFF2-40B4-BE49-F238E27FC236}">
              <a16:creationId xmlns:a16="http://schemas.microsoft.com/office/drawing/2014/main" id="{00000000-0008-0000-3200-0000A0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359</xdr:row>
      <xdr:rowOff>28440</xdr:rowOff>
    </xdr:from>
    <xdr:to>
      <xdr:col>7</xdr:col>
      <xdr:colOff>-363960</xdr:colOff>
      <xdr:row>360</xdr:row>
      <xdr:rowOff>0</xdr:rowOff>
    </xdr:to>
    <xdr:sp macro="" textlink="">
      <xdr:nvSpPr>
        <xdr:cNvPr id="1697" name="Option Button 1696">
          <a:extLst>
            <a:ext uri="{FF2B5EF4-FFF2-40B4-BE49-F238E27FC236}">
              <a16:creationId xmlns:a16="http://schemas.microsoft.com/office/drawing/2014/main" id="{00000000-0008-0000-3200-0000A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8" name="Option Button 1697">
          <a:extLst>
            <a:ext uri="{FF2B5EF4-FFF2-40B4-BE49-F238E27FC236}">
              <a16:creationId xmlns:a16="http://schemas.microsoft.com/office/drawing/2014/main" id="{00000000-0008-0000-3200-0000A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9" name="Option Button 1698">
          <a:extLst>
            <a:ext uri="{FF2B5EF4-FFF2-40B4-BE49-F238E27FC236}">
              <a16:creationId xmlns:a16="http://schemas.microsoft.com/office/drawing/2014/main" id="{00000000-0008-0000-3200-0000A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0" name="Option Button 1699">
          <a:extLst>
            <a:ext uri="{FF2B5EF4-FFF2-40B4-BE49-F238E27FC236}">
              <a16:creationId xmlns:a16="http://schemas.microsoft.com/office/drawing/2014/main" id="{00000000-0008-0000-3200-0000A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1" name="Group Box 1700" descr="Group Box 5">
          <a:extLst>
            <a:ext uri="{FF2B5EF4-FFF2-40B4-BE49-F238E27FC236}">
              <a16:creationId xmlns:a16="http://schemas.microsoft.com/office/drawing/2014/main" id="{00000000-0008-0000-3200-0000A5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360</xdr:row>
      <xdr:rowOff>28440</xdr:rowOff>
    </xdr:from>
    <xdr:to>
      <xdr:col>7</xdr:col>
      <xdr:colOff>-363960</xdr:colOff>
      <xdr:row>361</xdr:row>
      <xdr:rowOff>0</xdr:rowOff>
    </xdr:to>
    <xdr:sp macro="" textlink="">
      <xdr:nvSpPr>
        <xdr:cNvPr id="1702" name="Option Button 1701">
          <a:extLst>
            <a:ext uri="{FF2B5EF4-FFF2-40B4-BE49-F238E27FC236}">
              <a16:creationId xmlns:a16="http://schemas.microsoft.com/office/drawing/2014/main" id="{00000000-0008-0000-3200-0000A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3" name="Option Button 1702">
          <a:extLst>
            <a:ext uri="{FF2B5EF4-FFF2-40B4-BE49-F238E27FC236}">
              <a16:creationId xmlns:a16="http://schemas.microsoft.com/office/drawing/2014/main" id="{00000000-0008-0000-3200-0000A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4" name="Option Button 1703">
          <a:extLst>
            <a:ext uri="{FF2B5EF4-FFF2-40B4-BE49-F238E27FC236}">
              <a16:creationId xmlns:a16="http://schemas.microsoft.com/office/drawing/2014/main" id="{00000000-0008-0000-3200-0000A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5" name="Option Button 1704">
          <a:extLst>
            <a:ext uri="{FF2B5EF4-FFF2-40B4-BE49-F238E27FC236}">
              <a16:creationId xmlns:a16="http://schemas.microsoft.com/office/drawing/2014/main" id="{00000000-0008-0000-3200-0000A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6" name="Group Box 1705" descr="Group Box 5">
          <a:extLst>
            <a:ext uri="{FF2B5EF4-FFF2-40B4-BE49-F238E27FC236}">
              <a16:creationId xmlns:a16="http://schemas.microsoft.com/office/drawing/2014/main" id="{00000000-0008-0000-3200-0000AA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361</xdr:row>
      <xdr:rowOff>28440</xdr:rowOff>
    </xdr:from>
    <xdr:to>
      <xdr:col>7</xdr:col>
      <xdr:colOff>-363960</xdr:colOff>
      <xdr:row>362</xdr:row>
      <xdr:rowOff>0</xdr:rowOff>
    </xdr:to>
    <xdr:sp macro="" textlink="">
      <xdr:nvSpPr>
        <xdr:cNvPr id="1707" name="Option Button 1706">
          <a:extLst>
            <a:ext uri="{FF2B5EF4-FFF2-40B4-BE49-F238E27FC236}">
              <a16:creationId xmlns:a16="http://schemas.microsoft.com/office/drawing/2014/main" id="{00000000-0008-0000-3200-0000A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8" name="Option Button 1707">
          <a:extLst>
            <a:ext uri="{FF2B5EF4-FFF2-40B4-BE49-F238E27FC236}">
              <a16:creationId xmlns:a16="http://schemas.microsoft.com/office/drawing/2014/main" id="{00000000-0008-0000-3200-0000A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9" name="Option Button 1708">
          <a:extLst>
            <a:ext uri="{FF2B5EF4-FFF2-40B4-BE49-F238E27FC236}">
              <a16:creationId xmlns:a16="http://schemas.microsoft.com/office/drawing/2014/main" id="{00000000-0008-0000-3200-0000A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0" name="Option Button 1709">
          <a:extLst>
            <a:ext uri="{FF2B5EF4-FFF2-40B4-BE49-F238E27FC236}">
              <a16:creationId xmlns:a16="http://schemas.microsoft.com/office/drawing/2014/main" id="{00000000-0008-0000-3200-0000A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1" name="Group Box 1710" descr="Group Box 5">
          <a:extLst>
            <a:ext uri="{FF2B5EF4-FFF2-40B4-BE49-F238E27FC236}">
              <a16:creationId xmlns:a16="http://schemas.microsoft.com/office/drawing/2014/main" id="{00000000-0008-0000-3200-0000AF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362</xdr:row>
      <xdr:rowOff>28440</xdr:rowOff>
    </xdr:from>
    <xdr:to>
      <xdr:col>7</xdr:col>
      <xdr:colOff>-363960</xdr:colOff>
      <xdr:row>363</xdr:row>
      <xdr:rowOff>0</xdr:rowOff>
    </xdr:to>
    <xdr:sp macro="" textlink="">
      <xdr:nvSpPr>
        <xdr:cNvPr id="1712" name="Option Button 1711">
          <a:extLst>
            <a:ext uri="{FF2B5EF4-FFF2-40B4-BE49-F238E27FC236}">
              <a16:creationId xmlns:a16="http://schemas.microsoft.com/office/drawing/2014/main" id="{00000000-0008-0000-3200-0000B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3" name="Option Button 1712">
          <a:extLst>
            <a:ext uri="{FF2B5EF4-FFF2-40B4-BE49-F238E27FC236}">
              <a16:creationId xmlns:a16="http://schemas.microsoft.com/office/drawing/2014/main" id="{00000000-0008-0000-3200-0000B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4" name="Option Button 1713">
          <a:extLst>
            <a:ext uri="{FF2B5EF4-FFF2-40B4-BE49-F238E27FC236}">
              <a16:creationId xmlns:a16="http://schemas.microsoft.com/office/drawing/2014/main" id="{00000000-0008-0000-3200-0000B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5" name="Option Button 1714">
          <a:extLst>
            <a:ext uri="{FF2B5EF4-FFF2-40B4-BE49-F238E27FC236}">
              <a16:creationId xmlns:a16="http://schemas.microsoft.com/office/drawing/2014/main" id="{00000000-0008-0000-3200-0000B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6" name="Group Box 1715" descr="Group Box 5">
          <a:extLst>
            <a:ext uri="{FF2B5EF4-FFF2-40B4-BE49-F238E27FC236}">
              <a16:creationId xmlns:a16="http://schemas.microsoft.com/office/drawing/2014/main" id="{00000000-0008-0000-3200-0000B4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363</xdr:row>
      <xdr:rowOff>28440</xdr:rowOff>
    </xdr:from>
    <xdr:to>
      <xdr:col>7</xdr:col>
      <xdr:colOff>-363960</xdr:colOff>
      <xdr:row>364</xdr:row>
      <xdr:rowOff>0</xdr:rowOff>
    </xdr:to>
    <xdr:sp macro="" textlink="">
      <xdr:nvSpPr>
        <xdr:cNvPr id="1717" name="Option Button 1716">
          <a:extLst>
            <a:ext uri="{FF2B5EF4-FFF2-40B4-BE49-F238E27FC236}">
              <a16:creationId xmlns:a16="http://schemas.microsoft.com/office/drawing/2014/main" id="{00000000-0008-0000-3200-0000B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8" name="Option Button 1717">
          <a:extLst>
            <a:ext uri="{FF2B5EF4-FFF2-40B4-BE49-F238E27FC236}">
              <a16:creationId xmlns:a16="http://schemas.microsoft.com/office/drawing/2014/main" id="{00000000-0008-0000-3200-0000B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9" name="Option Button 1718">
          <a:extLst>
            <a:ext uri="{FF2B5EF4-FFF2-40B4-BE49-F238E27FC236}">
              <a16:creationId xmlns:a16="http://schemas.microsoft.com/office/drawing/2014/main" id="{00000000-0008-0000-3200-0000B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0" name="Option Button 1719">
          <a:extLst>
            <a:ext uri="{FF2B5EF4-FFF2-40B4-BE49-F238E27FC236}">
              <a16:creationId xmlns:a16="http://schemas.microsoft.com/office/drawing/2014/main" id="{00000000-0008-0000-3200-0000B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1" name="Group Box 1720" descr="Group Box 5">
          <a:extLst>
            <a:ext uri="{FF2B5EF4-FFF2-40B4-BE49-F238E27FC236}">
              <a16:creationId xmlns:a16="http://schemas.microsoft.com/office/drawing/2014/main" id="{00000000-0008-0000-3200-0000B9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364</xdr:row>
      <xdr:rowOff>28440</xdr:rowOff>
    </xdr:from>
    <xdr:to>
      <xdr:col>7</xdr:col>
      <xdr:colOff>-363960</xdr:colOff>
      <xdr:row>365</xdr:row>
      <xdr:rowOff>0</xdr:rowOff>
    </xdr:to>
    <xdr:sp macro="" textlink="">
      <xdr:nvSpPr>
        <xdr:cNvPr id="1722" name="Option Button 1721">
          <a:extLst>
            <a:ext uri="{FF2B5EF4-FFF2-40B4-BE49-F238E27FC236}">
              <a16:creationId xmlns:a16="http://schemas.microsoft.com/office/drawing/2014/main" id="{00000000-0008-0000-3200-0000B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3" name="Option Button 1722">
          <a:extLst>
            <a:ext uri="{FF2B5EF4-FFF2-40B4-BE49-F238E27FC236}">
              <a16:creationId xmlns:a16="http://schemas.microsoft.com/office/drawing/2014/main" id="{00000000-0008-0000-3200-0000B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4" name="Option Button 1723">
          <a:extLst>
            <a:ext uri="{FF2B5EF4-FFF2-40B4-BE49-F238E27FC236}">
              <a16:creationId xmlns:a16="http://schemas.microsoft.com/office/drawing/2014/main" id="{00000000-0008-0000-3200-0000B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5" name="Option Button 1724">
          <a:extLst>
            <a:ext uri="{FF2B5EF4-FFF2-40B4-BE49-F238E27FC236}">
              <a16:creationId xmlns:a16="http://schemas.microsoft.com/office/drawing/2014/main" id="{00000000-0008-0000-3200-0000B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6" name="Group Box 1725" descr="Group Box 5">
          <a:extLst>
            <a:ext uri="{FF2B5EF4-FFF2-40B4-BE49-F238E27FC236}">
              <a16:creationId xmlns:a16="http://schemas.microsoft.com/office/drawing/2014/main" id="{00000000-0008-0000-3200-0000BE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365</xdr:row>
      <xdr:rowOff>28440</xdr:rowOff>
    </xdr:from>
    <xdr:to>
      <xdr:col>7</xdr:col>
      <xdr:colOff>-363960</xdr:colOff>
      <xdr:row>366</xdr:row>
      <xdr:rowOff>0</xdr:rowOff>
    </xdr:to>
    <xdr:sp macro="" textlink="">
      <xdr:nvSpPr>
        <xdr:cNvPr id="1727" name="Option Button 1726">
          <a:extLst>
            <a:ext uri="{FF2B5EF4-FFF2-40B4-BE49-F238E27FC236}">
              <a16:creationId xmlns:a16="http://schemas.microsoft.com/office/drawing/2014/main" id="{00000000-0008-0000-3200-0000B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8" name="Option Button 1727">
          <a:extLst>
            <a:ext uri="{FF2B5EF4-FFF2-40B4-BE49-F238E27FC236}">
              <a16:creationId xmlns:a16="http://schemas.microsoft.com/office/drawing/2014/main" id="{00000000-0008-0000-3200-0000C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9" name="Option Button 1728">
          <a:extLst>
            <a:ext uri="{FF2B5EF4-FFF2-40B4-BE49-F238E27FC236}">
              <a16:creationId xmlns:a16="http://schemas.microsoft.com/office/drawing/2014/main" id="{00000000-0008-0000-3200-0000C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0" name="Option Button 1729">
          <a:extLst>
            <a:ext uri="{FF2B5EF4-FFF2-40B4-BE49-F238E27FC236}">
              <a16:creationId xmlns:a16="http://schemas.microsoft.com/office/drawing/2014/main" id="{00000000-0008-0000-3200-0000C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1" name="Group Box 1730" descr="Group Box 5">
          <a:extLst>
            <a:ext uri="{FF2B5EF4-FFF2-40B4-BE49-F238E27FC236}">
              <a16:creationId xmlns:a16="http://schemas.microsoft.com/office/drawing/2014/main" id="{00000000-0008-0000-3200-0000C3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366</xdr:row>
      <xdr:rowOff>28440</xdr:rowOff>
    </xdr:from>
    <xdr:to>
      <xdr:col>7</xdr:col>
      <xdr:colOff>-363960</xdr:colOff>
      <xdr:row>367</xdr:row>
      <xdr:rowOff>0</xdr:rowOff>
    </xdr:to>
    <xdr:sp macro="" textlink="">
      <xdr:nvSpPr>
        <xdr:cNvPr id="1732" name="Option Button 1731">
          <a:extLst>
            <a:ext uri="{FF2B5EF4-FFF2-40B4-BE49-F238E27FC236}">
              <a16:creationId xmlns:a16="http://schemas.microsoft.com/office/drawing/2014/main" id="{00000000-0008-0000-3200-0000C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3" name="Option Button 1732">
          <a:extLst>
            <a:ext uri="{FF2B5EF4-FFF2-40B4-BE49-F238E27FC236}">
              <a16:creationId xmlns:a16="http://schemas.microsoft.com/office/drawing/2014/main" id="{00000000-0008-0000-3200-0000C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4" name="Option Button 1733">
          <a:extLst>
            <a:ext uri="{FF2B5EF4-FFF2-40B4-BE49-F238E27FC236}">
              <a16:creationId xmlns:a16="http://schemas.microsoft.com/office/drawing/2014/main" id="{00000000-0008-0000-3200-0000C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5" name="Option Button 1734">
          <a:extLst>
            <a:ext uri="{FF2B5EF4-FFF2-40B4-BE49-F238E27FC236}">
              <a16:creationId xmlns:a16="http://schemas.microsoft.com/office/drawing/2014/main" id="{00000000-0008-0000-3200-0000C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6" name="Group Box 1735" descr="Group Box 5">
          <a:extLst>
            <a:ext uri="{FF2B5EF4-FFF2-40B4-BE49-F238E27FC236}">
              <a16:creationId xmlns:a16="http://schemas.microsoft.com/office/drawing/2014/main" id="{00000000-0008-0000-3200-0000C8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367</xdr:row>
      <xdr:rowOff>28440</xdr:rowOff>
    </xdr:from>
    <xdr:to>
      <xdr:col>7</xdr:col>
      <xdr:colOff>-363960</xdr:colOff>
      <xdr:row>368</xdr:row>
      <xdr:rowOff>0</xdr:rowOff>
    </xdr:to>
    <xdr:sp macro="" textlink="">
      <xdr:nvSpPr>
        <xdr:cNvPr id="1737" name="Option Button 1736">
          <a:extLst>
            <a:ext uri="{FF2B5EF4-FFF2-40B4-BE49-F238E27FC236}">
              <a16:creationId xmlns:a16="http://schemas.microsoft.com/office/drawing/2014/main" id="{00000000-0008-0000-3200-0000C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8" name="Option Button 1737">
          <a:extLst>
            <a:ext uri="{FF2B5EF4-FFF2-40B4-BE49-F238E27FC236}">
              <a16:creationId xmlns:a16="http://schemas.microsoft.com/office/drawing/2014/main" id="{00000000-0008-0000-3200-0000C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9" name="Option Button 1738">
          <a:extLst>
            <a:ext uri="{FF2B5EF4-FFF2-40B4-BE49-F238E27FC236}">
              <a16:creationId xmlns:a16="http://schemas.microsoft.com/office/drawing/2014/main" id="{00000000-0008-0000-3200-0000C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0" name="Option Button 1739">
          <a:extLst>
            <a:ext uri="{FF2B5EF4-FFF2-40B4-BE49-F238E27FC236}">
              <a16:creationId xmlns:a16="http://schemas.microsoft.com/office/drawing/2014/main" id="{00000000-0008-0000-3200-0000C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1" name="Group Box 1740" descr="Group Box 5">
          <a:extLst>
            <a:ext uri="{FF2B5EF4-FFF2-40B4-BE49-F238E27FC236}">
              <a16:creationId xmlns:a16="http://schemas.microsoft.com/office/drawing/2014/main" id="{00000000-0008-0000-3200-0000CD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368</xdr:row>
      <xdr:rowOff>28440</xdr:rowOff>
    </xdr:from>
    <xdr:to>
      <xdr:col>7</xdr:col>
      <xdr:colOff>-363960</xdr:colOff>
      <xdr:row>369</xdr:row>
      <xdr:rowOff>0</xdr:rowOff>
    </xdr:to>
    <xdr:sp macro="" textlink="">
      <xdr:nvSpPr>
        <xdr:cNvPr id="1742" name="Option Button 1741">
          <a:extLst>
            <a:ext uri="{FF2B5EF4-FFF2-40B4-BE49-F238E27FC236}">
              <a16:creationId xmlns:a16="http://schemas.microsoft.com/office/drawing/2014/main" id="{00000000-0008-0000-3200-0000C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3" name="Option Button 1742">
          <a:extLst>
            <a:ext uri="{FF2B5EF4-FFF2-40B4-BE49-F238E27FC236}">
              <a16:creationId xmlns:a16="http://schemas.microsoft.com/office/drawing/2014/main" id="{00000000-0008-0000-3200-0000C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4" name="Option Button 1743">
          <a:extLst>
            <a:ext uri="{FF2B5EF4-FFF2-40B4-BE49-F238E27FC236}">
              <a16:creationId xmlns:a16="http://schemas.microsoft.com/office/drawing/2014/main" id="{00000000-0008-0000-3200-0000D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5" name="Option Button 1744">
          <a:extLst>
            <a:ext uri="{FF2B5EF4-FFF2-40B4-BE49-F238E27FC236}">
              <a16:creationId xmlns:a16="http://schemas.microsoft.com/office/drawing/2014/main" id="{00000000-0008-0000-3200-0000D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6" name="Group Box 1745" descr="Group Box 5">
          <a:extLst>
            <a:ext uri="{FF2B5EF4-FFF2-40B4-BE49-F238E27FC236}">
              <a16:creationId xmlns:a16="http://schemas.microsoft.com/office/drawing/2014/main" id="{00000000-0008-0000-3200-0000D2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369</xdr:row>
      <xdr:rowOff>28440</xdr:rowOff>
    </xdr:from>
    <xdr:to>
      <xdr:col>7</xdr:col>
      <xdr:colOff>-363960</xdr:colOff>
      <xdr:row>370</xdr:row>
      <xdr:rowOff>0</xdr:rowOff>
    </xdr:to>
    <xdr:sp macro="" textlink="">
      <xdr:nvSpPr>
        <xdr:cNvPr id="1747" name="Option Button 1746">
          <a:extLst>
            <a:ext uri="{FF2B5EF4-FFF2-40B4-BE49-F238E27FC236}">
              <a16:creationId xmlns:a16="http://schemas.microsoft.com/office/drawing/2014/main" id="{00000000-0008-0000-3200-0000D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8" name="Option Button 1747">
          <a:extLst>
            <a:ext uri="{FF2B5EF4-FFF2-40B4-BE49-F238E27FC236}">
              <a16:creationId xmlns:a16="http://schemas.microsoft.com/office/drawing/2014/main" id="{00000000-0008-0000-3200-0000D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9" name="Option Button 1748">
          <a:extLst>
            <a:ext uri="{FF2B5EF4-FFF2-40B4-BE49-F238E27FC236}">
              <a16:creationId xmlns:a16="http://schemas.microsoft.com/office/drawing/2014/main" id="{00000000-0008-0000-3200-0000D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0" name="Option Button 1749">
          <a:extLst>
            <a:ext uri="{FF2B5EF4-FFF2-40B4-BE49-F238E27FC236}">
              <a16:creationId xmlns:a16="http://schemas.microsoft.com/office/drawing/2014/main" id="{00000000-0008-0000-3200-0000D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1" name="Group Box 1750" descr="Group Box 5">
          <a:extLst>
            <a:ext uri="{FF2B5EF4-FFF2-40B4-BE49-F238E27FC236}">
              <a16:creationId xmlns:a16="http://schemas.microsoft.com/office/drawing/2014/main" id="{00000000-0008-0000-3200-0000D7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370</xdr:row>
      <xdr:rowOff>28440</xdr:rowOff>
    </xdr:from>
    <xdr:to>
      <xdr:col>7</xdr:col>
      <xdr:colOff>-363960</xdr:colOff>
      <xdr:row>371</xdr:row>
      <xdr:rowOff>0</xdr:rowOff>
    </xdr:to>
    <xdr:sp macro="" textlink="">
      <xdr:nvSpPr>
        <xdr:cNvPr id="1752" name="Option Button 1751">
          <a:extLst>
            <a:ext uri="{FF2B5EF4-FFF2-40B4-BE49-F238E27FC236}">
              <a16:creationId xmlns:a16="http://schemas.microsoft.com/office/drawing/2014/main" id="{00000000-0008-0000-3200-0000D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3" name="Option Button 1752">
          <a:extLst>
            <a:ext uri="{FF2B5EF4-FFF2-40B4-BE49-F238E27FC236}">
              <a16:creationId xmlns:a16="http://schemas.microsoft.com/office/drawing/2014/main" id="{00000000-0008-0000-3200-0000D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4" name="Option Button 1753">
          <a:extLst>
            <a:ext uri="{FF2B5EF4-FFF2-40B4-BE49-F238E27FC236}">
              <a16:creationId xmlns:a16="http://schemas.microsoft.com/office/drawing/2014/main" id="{00000000-0008-0000-3200-0000D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5" name="Option Button 1754">
          <a:extLst>
            <a:ext uri="{FF2B5EF4-FFF2-40B4-BE49-F238E27FC236}">
              <a16:creationId xmlns:a16="http://schemas.microsoft.com/office/drawing/2014/main" id="{00000000-0008-0000-3200-0000D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6" name="Group Box 1755" descr="Group Box 5">
          <a:extLst>
            <a:ext uri="{FF2B5EF4-FFF2-40B4-BE49-F238E27FC236}">
              <a16:creationId xmlns:a16="http://schemas.microsoft.com/office/drawing/2014/main" id="{00000000-0008-0000-3200-0000DC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371</xdr:row>
      <xdr:rowOff>28440</xdr:rowOff>
    </xdr:from>
    <xdr:to>
      <xdr:col>7</xdr:col>
      <xdr:colOff>-363960</xdr:colOff>
      <xdr:row>372</xdr:row>
      <xdr:rowOff>0</xdr:rowOff>
    </xdr:to>
    <xdr:sp macro="" textlink="">
      <xdr:nvSpPr>
        <xdr:cNvPr id="1757" name="Option Button 1756">
          <a:extLst>
            <a:ext uri="{FF2B5EF4-FFF2-40B4-BE49-F238E27FC236}">
              <a16:creationId xmlns:a16="http://schemas.microsoft.com/office/drawing/2014/main" id="{00000000-0008-0000-3200-0000D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8" name="Option Button 1757">
          <a:extLst>
            <a:ext uri="{FF2B5EF4-FFF2-40B4-BE49-F238E27FC236}">
              <a16:creationId xmlns:a16="http://schemas.microsoft.com/office/drawing/2014/main" id="{00000000-0008-0000-3200-0000D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9" name="Option Button 1758">
          <a:extLst>
            <a:ext uri="{FF2B5EF4-FFF2-40B4-BE49-F238E27FC236}">
              <a16:creationId xmlns:a16="http://schemas.microsoft.com/office/drawing/2014/main" id="{00000000-0008-0000-3200-0000D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0" name="Option Button 1759">
          <a:extLst>
            <a:ext uri="{FF2B5EF4-FFF2-40B4-BE49-F238E27FC236}">
              <a16:creationId xmlns:a16="http://schemas.microsoft.com/office/drawing/2014/main" id="{00000000-0008-0000-3200-0000E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1" name="Group Box 1760" descr="Group Box 5">
          <a:extLst>
            <a:ext uri="{FF2B5EF4-FFF2-40B4-BE49-F238E27FC236}">
              <a16:creationId xmlns:a16="http://schemas.microsoft.com/office/drawing/2014/main" id="{00000000-0008-0000-3200-0000E1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372</xdr:row>
      <xdr:rowOff>28440</xdr:rowOff>
    </xdr:from>
    <xdr:to>
      <xdr:col>7</xdr:col>
      <xdr:colOff>-363960</xdr:colOff>
      <xdr:row>373</xdr:row>
      <xdr:rowOff>0</xdr:rowOff>
    </xdr:to>
    <xdr:sp macro="" textlink="">
      <xdr:nvSpPr>
        <xdr:cNvPr id="1762" name="Option Button 1761">
          <a:extLst>
            <a:ext uri="{FF2B5EF4-FFF2-40B4-BE49-F238E27FC236}">
              <a16:creationId xmlns:a16="http://schemas.microsoft.com/office/drawing/2014/main" id="{00000000-0008-0000-3200-0000E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3" name="Option Button 1762">
          <a:extLst>
            <a:ext uri="{FF2B5EF4-FFF2-40B4-BE49-F238E27FC236}">
              <a16:creationId xmlns:a16="http://schemas.microsoft.com/office/drawing/2014/main" id="{00000000-0008-0000-3200-0000E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4" name="Option Button 1763">
          <a:extLst>
            <a:ext uri="{FF2B5EF4-FFF2-40B4-BE49-F238E27FC236}">
              <a16:creationId xmlns:a16="http://schemas.microsoft.com/office/drawing/2014/main" id="{00000000-0008-0000-3200-0000E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5" name="Option Button 1764">
          <a:extLst>
            <a:ext uri="{FF2B5EF4-FFF2-40B4-BE49-F238E27FC236}">
              <a16:creationId xmlns:a16="http://schemas.microsoft.com/office/drawing/2014/main" id="{00000000-0008-0000-3200-0000E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6" name="Group Box 1765" descr="Group Box 5">
          <a:extLst>
            <a:ext uri="{FF2B5EF4-FFF2-40B4-BE49-F238E27FC236}">
              <a16:creationId xmlns:a16="http://schemas.microsoft.com/office/drawing/2014/main" id="{00000000-0008-0000-3200-0000E6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373</xdr:row>
      <xdr:rowOff>28440</xdr:rowOff>
    </xdr:from>
    <xdr:to>
      <xdr:col>7</xdr:col>
      <xdr:colOff>-363960</xdr:colOff>
      <xdr:row>374</xdr:row>
      <xdr:rowOff>0</xdr:rowOff>
    </xdr:to>
    <xdr:sp macro="" textlink="">
      <xdr:nvSpPr>
        <xdr:cNvPr id="1767" name="Option Button 1766">
          <a:extLst>
            <a:ext uri="{FF2B5EF4-FFF2-40B4-BE49-F238E27FC236}">
              <a16:creationId xmlns:a16="http://schemas.microsoft.com/office/drawing/2014/main" id="{00000000-0008-0000-3200-0000E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8" name="Option Button 1767">
          <a:extLst>
            <a:ext uri="{FF2B5EF4-FFF2-40B4-BE49-F238E27FC236}">
              <a16:creationId xmlns:a16="http://schemas.microsoft.com/office/drawing/2014/main" id="{00000000-0008-0000-3200-0000E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9" name="Option Button 1768">
          <a:extLst>
            <a:ext uri="{FF2B5EF4-FFF2-40B4-BE49-F238E27FC236}">
              <a16:creationId xmlns:a16="http://schemas.microsoft.com/office/drawing/2014/main" id="{00000000-0008-0000-3200-0000E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0" name="Option Button 1769">
          <a:extLst>
            <a:ext uri="{FF2B5EF4-FFF2-40B4-BE49-F238E27FC236}">
              <a16:creationId xmlns:a16="http://schemas.microsoft.com/office/drawing/2014/main" id="{00000000-0008-0000-3200-0000E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1" name="Group Box 1770" descr="Group Box 5">
          <a:extLst>
            <a:ext uri="{FF2B5EF4-FFF2-40B4-BE49-F238E27FC236}">
              <a16:creationId xmlns:a16="http://schemas.microsoft.com/office/drawing/2014/main" id="{00000000-0008-0000-3200-0000EB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374</xdr:row>
      <xdr:rowOff>28440</xdr:rowOff>
    </xdr:from>
    <xdr:to>
      <xdr:col>7</xdr:col>
      <xdr:colOff>-363960</xdr:colOff>
      <xdr:row>375</xdr:row>
      <xdr:rowOff>0</xdr:rowOff>
    </xdr:to>
    <xdr:sp macro="" textlink="">
      <xdr:nvSpPr>
        <xdr:cNvPr id="1772" name="Option Button 1771">
          <a:extLst>
            <a:ext uri="{FF2B5EF4-FFF2-40B4-BE49-F238E27FC236}">
              <a16:creationId xmlns:a16="http://schemas.microsoft.com/office/drawing/2014/main" id="{00000000-0008-0000-3200-0000E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3" name="Option Button 1772">
          <a:extLst>
            <a:ext uri="{FF2B5EF4-FFF2-40B4-BE49-F238E27FC236}">
              <a16:creationId xmlns:a16="http://schemas.microsoft.com/office/drawing/2014/main" id="{00000000-0008-0000-3200-0000E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4" name="Option Button 1773">
          <a:extLst>
            <a:ext uri="{FF2B5EF4-FFF2-40B4-BE49-F238E27FC236}">
              <a16:creationId xmlns:a16="http://schemas.microsoft.com/office/drawing/2014/main" id="{00000000-0008-0000-3200-0000E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5" name="Option Button 1774">
          <a:extLst>
            <a:ext uri="{FF2B5EF4-FFF2-40B4-BE49-F238E27FC236}">
              <a16:creationId xmlns:a16="http://schemas.microsoft.com/office/drawing/2014/main" id="{00000000-0008-0000-3200-0000E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6" name="Group Box 1775" descr="Group Box 5">
          <a:extLst>
            <a:ext uri="{FF2B5EF4-FFF2-40B4-BE49-F238E27FC236}">
              <a16:creationId xmlns:a16="http://schemas.microsoft.com/office/drawing/2014/main" id="{00000000-0008-0000-3200-0000F0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375</xdr:row>
      <xdr:rowOff>28440</xdr:rowOff>
    </xdr:from>
    <xdr:to>
      <xdr:col>7</xdr:col>
      <xdr:colOff>-363960</xdr:colOff>
      <xdr:row>376</xdr:row>
      <xdr:rowOff>0</xdr:rowOff>
    </xdr:to>
    <xdr:sp macro="" textlink="">
      <xdr:nvSpPr>
        <xdr:cNvPr id="1777" name="Option Button 1776">
          <a:extLst>
            <a:ext uri="{FF2B5EF4-FFF2-40B4-BE49-F238E27FC236}">
              <a16:creationId xmlns:a16="http://schemas.microsoft.com/office/drawing/2014/main" id="{00000000-0008-0000-3200-0000F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8" name="Option Button 1777">
          <a:extLst>
            <a:ext uri="{FF2B5EF4-FFF2-40B4-BE49-F238E27FC236}">
              <a16:creationId xmlns:a16="http://schemas.microsoft.com/office/drawing/2014/main" id="{00000000-0008-0000-3200-0000F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9" name="Option Button 1778">
          <a:extLst>
            <a:ext uri="{FF2B5EF4-FFF2-40B4-BE49-F238E27FC236}">
              <a16:creationId xmlns:a16="http://schemas.microsoft.com/office/drawing/2014/main" id="{00000000-0008-0000-3200-0000F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0" name="Option Button 1779">
          <a:extLst>
            <a:ext uri="{FF2B5EF4-FFF2-40B4-BE49-F238E27FC236}">
              <a16:creationId xmlns:a16="http://schemas.microsoft.com/office/drawing/2014/main" id="{00000000-0008-0000-3200-0000F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1" name="Group Box 1780" descr="Group Box 5">
          <a:extLst>
            <a:ext uri="{FF2B5EF4-FFF2-40B4-BE49-F238E27FC236}">
              <a16:creationId xmlns:a16="http://schemas.microsoft.com/office/drawing/2014/main" id="{00000000-0008-0000-3200-0000F5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376</xdr:row>
      <xdr:rowOff>28440</xdr:rowOff>
    </xdr:from>
    <xdr:to>
      <xdr:col>7</xdr:col>
      <xdr:colOff>-363960</xdr:colOff>
      <xdr:row>377</xdr:row>
      <xdr:rowOff>0</xdr:rowOff>
    </xdr:to>
    <xdr:sp macro="" textlink="">
      <xdr:nvSpPr>
        <xdr:cNvPr id="1782" name="Option Button 1781">
          <a:extLst>
            <a:ext uri="{FF2B5EF4-FFF2-40B4-BE49-F238E27FC236}">
              <a16:creationId xmlns:a16="http://schemas.microsoft.com/office/drawing/2014/main" id="{00000000-0008-0000-3200-0000F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3" name="Option Button 1782">
          <a:extLst>
            <a:ext uri="{FF2B5EF4-FFF2-40B4-BE49-F238E27FC236}">
              <a16:creationId xmlns:a16="http://schemas.microsoft.com/office/drawing/2014/main" id="{00000000-0008-0000-3200-0000F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4" name="Option Button 1783">
          <a:extLst>
            <a:ext uri="{FF2B5EF4-FFF2-40B4-BE49-F238E27FC236}">
              <a16:creationId xmlns:a16="http://schemas.microsoft.com/office/drawing/2014/main" id="{00000000-0008-0000-3200-0000F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5" name="Option Button 1784">
          <a:extLst>
            <a:ext uri="{FF2B5EF4-FFF2-40B4-BE49-F238E27FC236}">
              <a16:creationId xmlns:a16="http://schemas.microsoft.com/office/drawing/2014/main" id="{00000000-0008-0000-3200-0000F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6" name="Group Box 1785" descr="Group Box 5">
          <a:extLst>
            <a:ext uri="{FF2B5EF4-FFF2-40B4-BE49-F238E27FC236}">
              <a16:creationId xmlns:a16="http://schemas.microsoft.com/office/drawing/2014/main" id="{00000000-0008-0000-3200-0000FA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377</xdr:row>
      <xdr:rowOff>28440</xdr:rowOff>
    </xdr:from>
    <xdr:to>
      <xdr:col>7</xdr:col>
      <xdr:colOff>-363960</xdr:colOff>
      <xdr:row>378</xdr:row>
      <xdr:rowOff>0</xdr:rowOff>
    </xdr:to>
    <xdr:sp macro="" textlink="">
      <xdr:nvSpPr>
        <xdr:cNvPr id="1787" name="Option Button 1786">
          <a:extLst>
            <a:ext uri="{FF2B5EF4-FFF2-40B4-BE49-F238E27FC236}">
              <a16:creationId xmlns:a16="http://schemas.microsoft.com/office/drawing/2014/main" id="{00000000-0008-0000-3200-0000F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8" name="Option Button 1787">
          <a:extLst>
            <a:ext uri="{FF2B5EF4-FFF2-40B4-BE49-F238E27FC236}">
              <a16:creationId xmlns:a16="http://schemas.microsoft.com/office/drawing/2014/main" id="{00000000-0008-0000-3200-0000F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9" name="Option Button 1788">
          <a:extLst>
            <a:ext uri="{FF2B5EF4-FFF2-40B4-BE49-F238E27FC236}">
              <a16:creationId xmlns:a16="http://schemas.microsoft.com/office/drawing/2014/main" id="{00000000-0008-0000-3200-0000F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0" name="Option Button 1789">
          <a:extLst>
            <a:ext uri="{FF2B5EF4-FFF2-40B4-BE49-F238E27FC236}">
              <a16:creationId xmlns:a16="http://schemas.microsoft.com/office/drawing/2014/main" id="{00000000-0008-0000-3200-0000F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1" name="Group Box 1790" descr="Group Box 5">
          <a:extLst>
            <a:ext uri="{FF2B5EF4-FFF2-40B4-BE49-F238E27FC236}">
              <a16:creationId xmlns:a16="http://schemas.microsoft.com/office/drawing/2014/main" id="{00000000-0008-0000-3200-0000FF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378</xdr:row>
      <xdr:rowOff>28440</xdr:rowOff>
    </xdr:from>
    <xdr:to>
      <xdr:col>7</xdr:col>
      <xdr:colOff>-363960</xdr:colOff>
      <xdr:row>379</xdr:row>
      <xdr:rowOff>0</xdr:rowOff>
    </xdr:to>
    <xdr:sp macro="" textlink="">
      <xdr:nvSpPr>
        <xdr:cNvPr id="1792" name="Option Button 1791">
          <a:extLst>
            <a:ext uri="{FF2B5EF4-FFF2-40B4-BE49-F238E27FC236}">
              <a16:creationId xmlns:a16="http://schemas.microsoft.com/office/drawing/2014/main" id="{00000000-0008-0000-3200-00000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3" name="Option Button 1792">
          <a:extLst>
            <a:ext uri="{FF2B5EF4-FFF2-40B4-BE49-F238E27FC236}">
              <a16:creationId xmlns:a16="http://schemas.microsoft.com/office/drawing/2014/main" id="{00000000-0008-0000-3200-00000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4" name="Option Button 1793">
          <a:extLst>
            <a:ext uri="{FF2B5EF4-FFF2-40B4-BE49-F238E27FC236}">
              <a16:creationId xmlns:a16="http://schemas.microsoft.com/office/drawing/2014/main" id="{00000000-0008-0000-3200-00000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5" name="Option Button 1794">
          <a:extLst>
            <a:ext uri="{FF2B5EF4-FFF2-40B4-BE49-F238E27FC236}">
              <a16:creationId xmlns:a16="http://schemas.microsoft.com/office/drawing/2014/main" id="{00000000-0008-0000-3200-00000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6" name="Group Box 1795" descr="Group Box 5">
          <a:extLst>
            <a:ext uri="{FF2B5EF4-FFF2-40B4-BE49-F238E27FC236}">
              <a16:creationId xmlns:a16="http://schemas.microsoft.com/office/drawing/2014/main" id="{00000000-0008-0000-3200-000004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379</xdr:row>
      <xdr:rowOff>28440</xdr:rowOff>
    </xdr:from>
    <xdr:to>
      <xdr:col>7</xdr:col>
      <xdr:colOff>-363960</xdr:colOff>
      <xdr:row>380</xdr:row>
      <xdr:rowOff>0</xdr:rowOff>
    </xdr:to>
    <xdr:sp macro="" textlink="">
      <xdr:nvSpPr>
        <xdr:cNvPr id="1797" name="Option Button 1796">
          <a:extLst>
            <a:ext uri="{FF2B5EF4-FFF2-40B4-BE49-F238E27FC236}">
              <a16:creationId xmlns:a16="http://schemas.microsoft.com/office/drawing/2014/main" id="{00000000-0008-0000-3200-00000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8" name="Option Button 1797">
          <a:extLst>
            <a:ext uri="{FF2B5EF4-FFF2-40B4-BE49-F238E27FC236}">
              <a16:creationId xmlns:a16="http://schemas.microsoft.com/office/drawing/2014/main" id="{00000000-0008-0000-3200-00000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9" name="Option Button 1798">
          <a:extLst>
            <a:ext uri="{FF2B5EF4-FFF2-40B4-BE49-F238E27FC236}">
              <a16:creationId xmlns:a16="http://schemas.microsoft.com/office/drawing/2014/main" id="{00000000-0008-0000-3200-00000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0" name="Option Button 1799">
          <a:extLst>
            <a:ext uri="{FF2B5EF4-FFF2-40B4-BE49-F238E27FC236}">
              <a16:creationId xmlns:a16="http://schemas.microsoft.com/office/drawing/2014/main" id="{00000000-0008-0000-3200-00000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1" name="Group Box 1800" descr="Group Box 5">
          <a:extLst>
            <a:ext uri="{FF2B5EF4-FFF2-40B4-BE49-F238E27FC236}">
              <a16:creationId xmlns:a16="http://schemas.microsoft.com/office/drawing/2014/main" id="{00000000-0008-0000-3200-000009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380</xdr:row>
      <xdr:rowOff>28440</xdr:rowOff>
    </xdr:from>
    <xdr:to>
      <xdr:col>7</xdr:col>
      <xdr:colOff>-363960</xdr:colOff>
      <xdr:row>381</xdr:row>
      <xdr:rowOff>0</xdr:rowOff>
    </xdr:to>
    <xdr:sp macro="" textlink="">
      <xdr:nvSpPr>
        <xdr:cNvPr id="1802" name="Option Button 1801">
          <a:extLst>
            <a:ext uri="{FF2B5EF4-FFF2-40B4-BE49-F238E27FC236}">
              <a16:creationId xmlns:a16="http://schemas.microsoft.com/office/drawing/2014/main" id="{00000000-0008-0000-3200-00000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3" name="Option Button 1802">
          <a:extLst>
            <a:ext uri="{FF2B5EF4-FFF2-40B4-BE49-F238E27FC236}">
              <a16:creationId xmlns:a16="http://schemas.microsoft.com/office/drawing/2014/main" id="{00000000-0008-0000-3200-00000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4" name="Option Button 1803">
          <a:extLst>
            <a:ext uri="{FF2B5EF4-FFF2-40B4-BE49-F238E27FC236}">
              <a16:creationId xmlns:a16="http://schemas.microsoft.com/office/drawing/2014/main" id="{00000000-0008-0000-3200-00000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5" name="Option Button 1804">
          <a:extLst>
            <a:ext uri="{FF2B5EF4-FFF2-40B4-BE49-F238E27FC236}">
              <a16:creationId xmlns:a16="http://schemas.microsoft.com/office/drawing/2014/main" id="{00000000-0008-0000-3200-00000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6" name="Group Box 1805" descr="Group Box 5">
          <a:extLst>
            <a:ext uri="{FF2B5EF4-FFF2-40B4-BE49-F238E27FC236}">
              <a16:creationId xmlns:a16="http://schemas.microsoft.com/office/drawing/2014/main" id="{00000000-0008-0000-3200-00000E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381</xdr:row>
      <xdr:rowOff>28440</xdr:rowOff>
    </xdr:from>
    <xdr:to>
      <xdr:col>7</xdr:col>
      <xdr:colOff>-363960</xdr:colOff>
      <xdr:row>382</xdr:row>
      <xdr:rowOff>0</xdr:rowOff>
    </xdr:to>
    <xdr:sp macro="" textlink="">
      <xdr:nvSpPr>
        <xdr:cNvPr id="1807" name="Option Button 1806">
          <a:extLst>
            <a:ext uri="{FF2B5EF4-FFF2-40B4-BE49-F238E27FC236}">
              <a16:creationId xmlns:a16="http://schemas.microsoft.com/office/drawing/2014/main" id="{00000000-0008-0000-3200-00000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8" name="Option Button 1807">
          <a:extLst>
            <a:ext uri="{FF2B5EF4-FFF2-40B4-BE49-F238E27FC236}">
              <a16:creationId xmlns:a16="http://schemas.microsoft.com/office/drawing/2014/main" id="{00000000-0008-0000-3200-00001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9" name="Option Button 1808">
          <a:extLst>
            <a:ext uri="{FF2B5EF4-FFF2-40B4-BE49-F238E27FC236}">
              <a16:creationId xmlns:a16="http://schemas.microsoft.com/office/drawing/2014/main" id="{00000000-0008-0000-3200-00001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0" name="Option Button 1809">
          <a:extLst>
            <a:ext uri="{FF2B5EF4-FFF2-40B4-BE49-F238E27FC236}">
              <a16:creationId xmlns:a16="http://schemas.microsoft.com/office/drawing/2014/main" id="{00000000-0008-0000-3200-00001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1" name="Group Box 1810" descr="Group Box 5">
          <a:extLst>
            <a:ext uri="{FF2B5EF4-FFF2-40B4-BE49-F238E27FC236}">
              <a16:creationId xmlns:a16="http://schemas.microsoft.com/office/drawing/2014/main" id="{00000000-0008-0000-3200-000013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382</xdr:row>
      <xdr:rowOff>28440</xdr:rowOff>
    </xdr:from>
    <xdr:to>
      <xdr:col>7</xdr:col>
      <xdr:colOff>-363960</xdr:colOff>
      <xdr:row>383</xdr:row>
      <xdr:rowOff>0</xdr:rowOff>
    </xdr:to>
    <xdr:sp macro="" textlink="">
      <xdr:nvSpPr>
        <xdr:cNvPr id="1812" name="Option Button 1811">
          <a:extLst>
            <a:ext uri="{FF2B5EF4-FFF2-40B4-BE49-F238E27FC236}">
              <a16:creationId xmlns:a16="http://schemas.microsoft.com/office/drawing/2014/main" id="{00000000-0008-0000-3200-00001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3" name="Option Button 1812">
          <a:extLst>
            <a:ext uri="{FF2B5EF4-FFF2-40B4-BE49-F238E27FC236}">
              <a16:creationId xmlns:a16="http://schemas.microsoft.com/office/drawing/2014/main" id="{00000000-0008-0000-3200-00001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4" name="Option Button 1813">
          <a:extLst>
            <a:ext uri="{FF2B5EF4-FFF2-40B4-BE49-F238E27FC236}">
              <a16:creationId xmlns:a16="http://schemas.microsoft.com/office/drawing/2014/main" id="{00000000-0008-0000-3200-00001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5" name="Option Button 1814">
          <a:extLst>
            <a:ext uri="{FF2B5EF4-FFF2-40B4-BE49-F238E27FC236}">
              <a16:creationId xmlns:a16="http://schemas.microsoft.com/office/drawing/2014/main" id="{00000000-0008-0000-3200-00001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6" name="Group Box 1815" descr="Group Box 5">
          <a:extLst>
            <a:ext uri="{FF2B5EF4-FFF2-40B4-BE49-F238E27FC236}">
              <a16:creationId xmlns:a16="http://schemas.microsoft.com/office/drawing/2014/main" id="{00000000-0008-0000-3200-000018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383</xdr:row>
      <xdr:rowOff>28440</xdr:rowOff>
    </xdr:from>
    <xdr:to>
      <xdr:col>7</xdr:col>
      <xdr:colOff>-363960</xdr:colOff>
      <xdr:row>384</xdr:row>
      <xdr:rowOff>0</xdr:rowOff>
    </xdr:to>
    <xdr:sp macro="" textlink="">
      <xdr:nvSpPr>
        <xdr:cNvPr id="1817" name="Option Button 1816">
          <a:extLst>
            <a:ext uri="{FF2B5EF4-FFF2-40B4-BE49-F238E27FC236}">
              <a16:creationId xmlns:a16="http://schemas.microsoft.com/office/drawing/2014/main" id="{00000000-0008-0000-3200-00001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8" name="Option Button 1817">
          <a:extLst>
            <a:ext uri="{FF2B5EF4-FFF2-40B4-BE49-F238E27FC236}">
              <a16:creationId xmlns:a16="http://schemas.microsoft.com/office/drawing/2014/main" id="{00000000-0008-0000-3200-00001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9" name="Option Button 1818">
          <a:extLst>
            <a:ext uri="{FF2B5EF4-FFF2-40B4-BE49-F238E27FC236}">
              <a16:creationId xmlns:a16="http://schemas.microsoft.com/office/drawing/2014/main" id="{00000000-0008-0000-3200-00001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0" name="Option Button 1819">
          <a:extLst>
            <a:ext uri="{FF2B5EF4-FFF2-40B4-BE49-F238E27FC236}">
              <a16:creationId xmlns:a16="http://schemas.microsoft.com/office/drawing/2014/main" id="{00000000-0008-0000-3200-00001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1" name="Group Box 1820" descr="Group Box 5">
          <a:extLst>
            <a:ext uri="{FF2B5EF4-FFF2-40B4-BE49-F238E27FC236}">
              <a16:creationId xmlns:a16="http://schemas.microsoft.com/office/drawing/2014/main" id="{00000000-0008-0000-3200-00001D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384</xdr:row>
      <xdr:rowOff>28440</xdr:rowOff>
    </xdr:from>
    <xdr:to>
      <xdr:col>7</xdr:col>
      <xdr:colOff>-363960</xdr:colOff>
      <xdr:row>385</xdr:row>
      <xdr:rowOff>0</xdr:rowOff>
    </xdr:to>
    <xdr:sp macro="" textlink="">
      <xdr:nvSpPr>
        <xdr:cNvPr id="1822" name="Option Button 1821">
          <a:extLst>
            <a:ext uri="{FF2B5EF4-FFF2-40B4-BE49-F238E27FC236}">
              <a16:creationId xmlns:a16="http://schemas.microsoft.com/office/drawing/2014/main" id="{00000000-0008-0000-3200-00001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3" name="Option Button 1822">
          <a:extLst>
            <a:ext uri="{FF2B5EF4-FFF2-40B4-BE49-F238E27FC236}">
              <a16:creationId xmlns:a16="http://schemas.microsoft.com/office/drawing/2014/main" id="{00000000-0008-0000-3200-00001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4" name="Option Button 1823">
          <a:extLst>
            <a:ext uri="{FF2B5EF4-FFF2-40B4-BE49-F238E27FC236}">
              <a16:creationId xmlns:a16="http://schemas.microsoft.com/office/drawing/2014/main" id="{00000000-0008-0000-3200-00002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5" name="Option Button 1824">
          <a:extLst>
            <a:ext uri="{FF2B5EF4-FFF2-40B4-BE49-F238E27FC236}">
              <a16:creationId xmlns:a16="http://schemas.microsoft.com/office/drawing/2014/main" id="{00000000-0008-0000-3200-00002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6" name="Group Box 1825" descr="Group Box 5">
          <a:extLst>
            <a:ext uri="{FF2B5EF4-FFF2-40B4-BE49-F238E27FC236}">
              <a16:creationId xmlns:a16="http://schemas.microsoft.com/office/drawing/2014/main" id="{00000000-0008-0000-3200-000022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385</xdr:row>
      <xdr:rowOff>28440</xdr:rowOff>
    </xdr:from>
    <xdr:to>
      <xdr:col>7</xdr:col>
      <xdr:colOff>-363960</xdr:colOff>
      <xdr:row>386</xdr:row>
      <xdr:rowOff>0</xdr:rowOff>
    </xdr:to>
    <xdr:sp macro="" textlink="">
      <xdr:nvSpPr>
        <xdr:cNvPr id="1827" name="Option Button 1826">
          <a:extLst>
            <a:ext uri="{FF2B5EF4-FFF2-40B4-BE49-F238E27FC236}">
              <a16:creationId xmlns:a16="http://schemas.microsoft.com/office/drawing/2014/main" id="{00000000-0008-0000-3200-00002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8" name="Option Button 1827">
          <a:extLst>
            <a:ext uri="{FF2B5EF4-FFF2-40B4-BE49-F238E27FC236}">
              <a16:creationId xmlns:a16="http://schemas.microsoft.com/office/drawing/2014/main" id="{00000000-0008-0000-3200-00002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9" name="Option Button 1828">
          <a:extLst>
            <a:ext uri="{FF2B5EF4-FFF2-40B4-BE49-F238E27FC236}">
              <a16:creationId xmlns:a16="http://schemas.microsoft.com/office/drawing/2014/main" id="{00000000-0008-0000-3200-00002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0" name="Option Button 1829">
          <a:extLst>
            <a:ext uri="{FF2B5EF4-FFF2-40B4-BE49-F238E27FC236}">
              <a16:creationId xmlns:a16="http://schemas.microsoft.com/office/drawing/2014/main" id="{00000000-0008-0000-3200-00002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1" name="Group Box 1830" descr="Group Box 5">
          <a:extLst>
            <a:ext uri="{FF2B5EF4-FFF2-40B4-BE49-F238E27FC236}">
              <a16:creationId xmlns:a16="http://schemas.microsoft.com/office/drawing/2014/main" id="{00000000-0008-0000-3200-000027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386</xdr:row>
      <xdr:rowOff>28440</xdr:rowOff>
    </xdr:from>
    <xdr:to>
      <xdr:col>7</xdr:col>
      <xdr:colOff>-363960</xdr:colOff>
      <xdr:row>387</xdr:row>
      <xdr:rowOff>0</xdr:rowOff>
    </xdr:to>
    <xdr:sp macro="" textlink="">
      <xdr:nvSpPr>
        <xdr:cNvPr id="1832" name="Option Button 1831">
          <a:extLst>
            <a:ext uri="{FF2B5EF4-FFF2-40B4-BE49-F238E27FC236}">
              <a16:creationId xmlns:a16="http://schemas.microsoft.com/office/drawing/2014/main" id="{00000000-0008-0000-3200-00002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3" name="Option Button 1832">
          <a:extLst>
            <a:ext uri="{FF2B5EF4-FFF2-40B4-BE49-F238E27FC236}">
              <a16:creationId xmlns:a16="http://schemas.microsoft.com/office/drawing/2014/main" id="{00000000-0008-0000-3200-00002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4" name="Option Button 1833">
          <a:extLst>
            <a:ext uri="{FF2B5EF4-FFF2-40B4-BE49-F238E27FC236}">
              <a16:creationId xmlns:a16="http://schemas.microsoft.com/office/drawing/2014/main" id="{00000000-0008-0000-3200-00002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5" name="Option Button 1834">
          <a:extLst>
            <a:ext uri="{FF2B5EF4-FFF2-40B4-BE49-F238E27FC236}">
              <a16:creationId xmlns:a16="http://schemas.microsoft.com/office/drawing/2014/main" id="{00000000-0008-0000-3200-00002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6" name="Group Box 1835" descr="Group Box 5">
          <a:extLst>
            <a:ext uri="{FF2B5EF4-FFF2-40B4-BE49-F238E27FC236}">
              <a16:creationId xmlns:a16="http://schemas.microsoft.com/office/drawing/2014/main" id="{00000000-0008-0000-3200-00002C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387</xdr:row>
      <xdr:rowOff>28440</xdr:rowOff>
    </xdr:from>
    <xdr:to>
      <xdr:col>7</xdr:col>
      <xdr:colOff>-363960</xdr:colOff>
      <xdr:row>388</xdr:row>
      <xdr:rowOff>0</xdr:rowOff>
    </xdr:to>
    <xdr:sp macro="" textlink="">
      <xdr:nvSpPr>
        <xdr:cNvPr id="1837" name="Option Button 1836">
          <a:extLst>
            <a:ext uri="{FF2B5EF4-FFF2-40B4-BE49-F238E27FC236}">
              <a16:creationId xmlns:a16="http://schemas.microsoft.com/office/drawing/2014/main" id="{00000000-0008-0000-3200-00002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8" name="Option Button 1837">
          <a:extLst>
            <a:ext uri="{FF2B5EF4-FFF2-40B4-BE49-F238E27FC236}">
              <a16:creationId xmlns:a16="http://schemas.microsoft.com/office/drawing/2014/main" id="{00000000-0008-0000-3200-00002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9" name="Option Button 1838">
          <a:extLst>
            <a:ext uri="{FF2B5EF4-FFF2-40B4-BE49-F238E27FC236}">
              <a16:creationId xmlns:a16="http://schemas.microsoft.com/office/drawing/2014/main" id="{00000000-0008-0000-3200-00002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0" name="Option Button 1839">
          <a:extLst>
            <a:ext uri="{FF2B5EF4-FFF2-40B4-BE49-F238E27FC236}">
              <a16:creationId xmlns:a16="http://schemas.microsoft.com/office/drawing/2014/main" id="{00000000-0008-0000-3200-00003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1" name="Group Box 1840" descr="Group Box 5">
          <a:extLst>
            <a:ext uri="{FF2B5EF4-FFF2-40B4-BE49-F238E27FC236}">
              <a16:creationId xmlns:a16="http://schemas.microsoft.com/office/drawing/2014/main" id="{00000000-0008-0000-3200-000031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388</xdr:row>
      <xdr:rowOff>28440</xdr:rowOff>
    </xdr:from>
    <xdr:to>
      <xdr:col>7</xdr:col>
      <xdr:colOff>-363960</xdr:colOff>
      <xdr:row>389</xdr:row>
      <xdr:rowOff>0</xdr:rowOff>
    </xdr:to>
    <xdr:sp macro="" textlink="">
      <xdr:nvSpPr>
        <xdr:cNvPr id="1842" name="Option Button 1841">
          <a:extLst>
            <a:ext uri="{FF2B5EF4-FFF2-40B4-BE49-F238E27FC236}">
              <a16:creationId xmlns:a16="http://schemas.microsoft.com/office/drawing/2014/main" id="{00000000-0008-0000-3200-00003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3" name="Option Button 1842">
          <a:extLst>
            <a:ext uri="{FF2B5EF4-FFF2-40B4-BE49-F238E27FC236}">
              <a16:creationId xmlns:a16="http://schemas.microsoft.com/office/drawing/2014/main" id="{00000000-0008-0000-3200-00003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4" name="Option Button 1843">
          <a:extLst>
            <a:ext uri="{FF2B5EF4-FFF2-40B4-BE49-F238E27FC236}">
              <a16:creationId xmlns:a16="http://schemas.microsoft.com/office/drawing/2014/main" id="{00000000-0008-0000-3200-00003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5" name="Option Button 1844">
          <a:extLst>
            <a:ext uri="{FF2B5EF4-FFF2-40B4-BE49-F238E27FC236}">
              <a16:creationId xmlns:a16="http://schemas.microsoft.com/office/drawing/2014/main" id="{00000000-0008-0000-3200-00003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6" name="Group Box 1845" descr="Group Box 5">
          <a:extLst>
            <a:ext uri="{FF2B5EF4-FFF2-40B4-BE49-F238E27FC236}">
              <a16:creationId xmlns:a16="http://schemas.microsoft.com/office/drawing/2014/main" id="{00000000-0008-0000-3200-000036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389</xdr:row>
      <xdr:rowOff>28440</xdr:rowOff>
    </xdr:from>
    <xdr:to>
      <xdr:col>7</xdr:col>
      <xdr:colOff>-363960</xdr:colOff>
      <xdr:row>390</xdr:row>
      <xdr:rowOff>0</xdr:rowOff>
    </xdr:to>
    <xdr:sp macro="" textlink="">
      <xdr:nvSpPr>
        <xdr:cNvPr id="1847" name="Option Button 1846">
          <a:extLst>
            <a:ext uri="{FF2B5EF4-FFF2-40B4-BE49-F238E27FC236}">
              <a16:creationId xmlns:a16="http://schemas.microsoft.com/office/drawing/2014/main" id="{00000000-0008-0000-3200-00003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8" name="Option Button 1847">
          <a:extLst>
            <a:ext uri="{FF2B5EF4-FFF2-40B4-BE49-F238E27FC236}">
              <a16:creationId xmlns:a16="http://schemas.microsoft.com/office/drawing/2014/main" id="{00000000-0008-0000-3200-00003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9" name="Option Button 1848">
          <a:extLst>
            <a:ext uri="{FF2B5EF4-FFF2-40B4-BE49-F238E27FC236}">
              <a16:creationId xmlns:a16="http://schemas.microsoft.com/office/drawing/2014/main" id="{00000000-0008-0000-3200-00003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0" name="Option Button 1849">
          <a:extLst>
            <a:ext uri="{FF2B5EF4-FFF2-40B4-BE49-F238E27FC236}">
              <a16:creationId xmlns:a16="http://schemas.microsoft.com/office/drawing/2014/main" id="{00000000-0008-0000-3200-00003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1" name="Group Box 1850" descr="Group Box 5">
          <a:extLst>
            <a:ext uri="{FF2B5EF4-FFF2-40B4-BE49-F238E27FC236}">
              <a16:creationId xmlns:a16="http://schemas.microsoft.com/office/drawing/2014/main" id="{00000000-0008-0000-3200-00003B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390</xdr:row>
      <xdr:rowOff>28440</xdr:rowOff>
    </xdr:from>
    <xdr:to>
      <xdr:col>7</xdr:col>
      <xdr:colOff>-363960</xdr:colOff>
      <xdr:row>391</xdr:row>
      <xdr:rowOff>0</xdr:rowOff>
    </xdr:to>
    <xdr:sp macro="" textlink="">
      <xdr:nvSpPr>
        <xdr:cNvPr id="1852" name="Option Button 1851">
          <a:extLst>
            <a:ext uri="{FF2B5EF4-FFF2-40B4-BE49-F238E27FC236}">
              <a16:creationId xmlns:a16="http://schemas.microsoft.com/office/drawing/2014/main" id="{00000000-0008-0000-3200-00003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3" name="Option Button 1852">
          <a:extLst>
            <a:ext uri="{FF2B5EF4-FFF2-40B4-BE49-F238E27FC236}">
              <a16:creationId xmlns:a16="http://schemas.microsoft.com/office/drawing/2014/main" id="{00000000-0008-0000-3200-00003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4" name="Option Button 1853">
          <a:extLst>
            <a:ext uri="{FF2B5EF4-FFF2-40B4-BE49-F238E27FC236}">
              <a16:creationId xmlns:a16="http://schemas.microsoft.com/office/drawing/2014/main" id="{00000000-0008-0000-3200-00003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5" name="Option Button 1854">
          <a:extLst>
            <a:ext uri="{FF2B5EF4-FFF2-40B4-BE49-F238E27FC236}">
              <a16:creationId xmlns:a16="http://schemas.microsoft.com/office/drawing/2014/main" id="{00000000-0008-0000-3200-00003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6" name="Group Box 1855" descr="Group Box 5">
          <a:extLst>
            <a:ext uri="{FF2B5EF4-FFF2-40B4-BE49-F238E27FC236}">
              <a16:creationId xmlns:a16="http://schemas.microsoft.com/office/drawing/2014/main" id="{00000000-0008-0000-3200-000040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391</xdr:row>
      <xdr:rowOff>28440</xdr:rowOff>
    </xdr:from>
    <xdr:to>
      <xdr:col>7</xdr:col>
      <xdr:colOff>-363960</xdr:colOff>
      <xdr:row>392</xdr:row>
      <xdr:rowOff>0</xdr:rowOff>
    </xdr:to>
    <xdr:sp macro="" textlink="">
      <xdr:nvSpPr>
        <xdr:cNvPr id="1857" name="Option Button 1856">
          <a:extLst>
            <a:ext uri="{FF2B5EF4-FFF2-40B4-BE49-F238E27FC236}">
              <a16:creationId xmlns:a16="http://schemas.microsoft.com/office/drawing/2014/main" id="{00000000-0008-0000-3200-00004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8" name="Option Button 1857">
          <a:extLst>
            <a:ext uri="{FF2B5EF4-FFF2-40B4-BE49-F238E27FC236}">
              <a16:creationId xmlns:a16="http://schemas.microsoft.com/office/drawing/2014/main" id="{00000000-0008-0000-3200-00004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9" name="Option Button 1858">
          <a:extLst>
            <a:ext uri="{FF2B5EF4-FFF2-40B4-BE49-F238E27FC236}">
              <a16:creationId xmlns:a16="http://schemas.microsoft.com/office/drawing/2014/main" id="{00000000-0008-0000-3200-00004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0" name="Option Button 1859">
          <a:extLst>
            <a:ext uri="{FF2B5EF4-FFF2-40B4-BE49-F238E27FC236}">
              <a16:creationId xmlns:a16="http://schemas.microsoft.com/office/drawing/2014/main" id="{00000000-0008-0000-3200-00004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1" name="Group Box 1860" descr="Group Box 5">
          <a:extLst>
            <a:ext uri="{FF2B5EF4-FFF2-40B4-BE49-F238E27FC236}">
              <a16:creationId xmlns:a16="http://schemas.microsoft.com/office/drawing/2014/main" id="{00000000-0008-0000-3200-000045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392</xdr:row>
      <xdr:rowOff>28440</xdr:rowOff>
    </xdr:from>
    <xdr:to>
      <xdr:col>7</xdr:col>
      <xdr:colOff>-363960</xdr:colOff>
      <xdr:row>393</xdr:row>
      <xdr:rowOff>0</xdr:rowOff>
    </xdr:to>
    <xdr:sp macro="" textlink="">
      <xdr:nvSpPr>
        <xdr:cNvPr id="1862" name="Option Button 1861">
          <a:extLst>
            <a:ext uri="{FF2B5EF4-FFF2-40B4-BE49-F238E27FC236}">
              <a16:creationId xmlns:a16="http://schemas.microsoft.com/office/drawing/2014/main" id="{00000000-0008-0000-3200-00004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3" name="Option Button 1862">
          <a:extLst>
            <a:ext uri="{FF2B5EF4-FFF2-40B4-BE49-F238E27FC236}">
              <a16:creationId xmlns:a16="http://schemas.microsoft.com/office/drawing/2014/main" id="{00000000-0008-0000-3200-00004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4" name="Option Button 1863">
          <a:extLst>
            <a:ext uri="{FF2B5EF4-FFF2-40B4-BE49-F238E27FC236}">
              <a16:creationId xmlns:a16="http://schemas.microsoft.com/office/drawing/2014/main" id="{00000000-0008-0000-3200-00004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5" name="Option Button 1864">
          <a:extLst>
            <a:ext uri="{FF2B5EF4-FFF2-40B4-BE49-F238E27FC236}">
              <a16:creationId xmlns:a16="http://schemas.microsoft.com/office/drawing/2014/main" id="{00000000-0008-0000-3200-00004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6" name="Group Box 1865" descr="Group Box 5">
          <a:extLst>
            <a:ext uri="{FF2B5EF4-FFF2-40B4-BE49-F238E27FC236}">
              <a16:creationId xmlns:a16="http://schemas.microsoft.com/office/drawing/2014/main" id="{00000000-0008-0000-3200-00004A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393</xdr:row>
      <xdr:rowOff>28440</xdr:rowOff>
    </xdr:from>
    <xdr:to>
      <xdr:col>7</xdr:col>
      <xdr:colOff>-363960</xdr:colOff>
      <xdr:row>394</xdr:row>
      <xdr:rowOff>0</xdr:rowOff>
    </xdr:to>
    <xdr:sp macro="" textlink="">
      <xdr:nvSpPr>
        <xdr:cNvPr id="1867" name="Option Button 1866">
          <a:extLst>
            <a:ext uri="{FF2B5EF4-FFF2-40B4-BE49-F238E27FC236}">
              <a16:creationId xmlns:a16="http://schemas.microsoft.com/office/drawing/2014/main" id="{00000000-0008-0000-3200-00004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8" name="Option Button 1867">
          <a:extLst>
            <a:ext uri="{FF2B5EF4-FFF2-40B4-BE49-F238E27FC236}">
              <a16:creationId xmlns:a16="http://schemas.microsoft.com/office/drawing/2014/main" id="{00000000-0008-0000-3200-00004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9" name="Option Button 1868">
          <a:extLst>
            <a:ext uri="{FF2B5EF4-FFF2-40B4-BE49-F238E27FC236}">
              <a16:creationId xmlns:a16="http://schemas.microsoft.com/office/drawing/2014/main" id="{00000000-0008-0000-3200-00004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0" name="Option Button 1869">
          <a:extLst>
            <a:ext uri="{FF2B5EF4-FFF2-40B4-BE49-F238E27FC236}">
              <a16:creationId xmlns:a16="http://schemas.microsoft.com/office/drawing/2014/main" id="{00000000-0008-0000-3200-00004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1" name="Group Box 1870" descr="Group Box 5">
          <a:extLst>
            <a:ext uri="{FF2B5EF4-FFF2-40B4-BE49-F238E27FC236}">
              <a16:creationId xmlns:a16="http://schemas.microsoft.com/office/drawing/2014/main" id="{00000000-0008-0000-3200-00004F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394</xdr:row>
      <xdr:rowOff>28440</xdr:rowOff>
    </xdr:from>
    <xdr:to>
      <xdr:col>7</xdr:col>
      <xdr:colOff>-363960</xdr:colOff>
      <xdr:row>395</xdr:row>
      <xdr:rowOff>0</xdr:rowOff>
    </xdr:to>
    <xdr:sp macro="" textlink="">
      <xdr:nvSpPr>
        <xdr:cNvPr id="1872" name="Option Button 1871">
          <a:extLst>
            <a:ext uri="{FF2B5EF4-FFF2-40B4-BE49-F238E27FC236}">
              <a16:creationId xmlns:a16="http://schemas.microsoft.com/office/drawing/2014/main" id="{00000000-0008-0000-3200-00005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3" name="Option Button 1872">
          <a:extLst>
            <a:ext uri="{FF2B5EF4-FFF2-40B4-BE49-F238E27FC236}">
              <a16:creationId xmlns:a16="http://schemas.microsoft.com/office/drawing/2014/main" id="{00000000-0008-0000-3200-00005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4" name="Option Button 1873">
          <a:extLst>
            <a:ext uri="{FF2B5EF4-FFF2-40B4-BE49-F238E27FC236}">
              <a16:creationId xmlns:a16="http://schemas.microsoft.com/office/drawing/2014/main" id="{00000000-0008-0000-3200-00005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5" name="Option Button 1874">
          <a:extLst>
            <a:ext uri="{FF2B5EF4-FFF2-40B4-BE49-F238E27FC236}">
              <a16:creationId xmlns:a16="http://schemas.microsoft.com/office/drawing/2014/main" id="{00000000-0008-0000-3200-00005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6" name="Group Box 1875" descr="Group Box 5">
          <a:extLst>
            <a:ext uri="{FF2B5EF4-FFF2-40B4-BE49-F238E27FC236}">
              <a16:creationId xmlns:a16="http://schemas.microsoft.com/office/drawing/2014/main" id="{00000000-0008-0000-3200-000054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395</xdr:row>
      <xdr:rowOff>28440</xdr:rowOff>
    </xdr:from>
    <xdr:to>
      <xdr:col>7</xdr:col>
      <xdr:colOff>-363960</xdr:colOff>
      <xdr:row>396</xdr:row>
      <xdr:rowOff>0</xdr:rowOff>
    </xdr:to>
    <xdr:sp macro="" textlink="">
      <xdr:nvSpPr>
        <xdr:cNvPr id="1877" name="Option Button 1876">
          <a:extLst>
            <a:ext uri="{FF2B5EF4-FFF2-40B4-BE49-F238E27FC236}">
              <a16:creationId xmlns:a16="http://schemas.microsoft.com/office/drawing/2014/main" id="{00000000-0008-0000-3200-00005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8" name="Option Button 1877">
          <a:extLst>
            <a:ext uri="{FF2B5EF4-FFF2-40B4-BE49-F238E27FC236}">
              <a16:creationId xmlns:a16="http://schemas.microsoft.com/office/drawing/2014/main" id="{00000000-0008-0000-3200-00005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9" name="Option Button 1878">
          <a:extLst>
            <a:ext uri="{FF2B5EF4-FFF2-40B4-BE49-F238E27FC236}">
              <a16:creationId xmlns:a16="http://schemas.microsoft.com/office/drawing/2014/main" id="{00000000-0008-0000-3200-00005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0" name="Option Button 1879">
          <a:extLst>
            <a:ext uri="{FF2B5EF4-FFF2-40B4-BE49-F238E27FC236}">
              <a16:creationId xmlns:a16="http://schemas.microsoft.com/office/drawing/2014/main" id="{00000000-0008-0000-3200-00005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1" name="Group Box 1880" descr="Group Box 5">
          <a:extLst>
            <a:ext uri="{FF2B5EF4-FFF2-40B4-BE49-F238E27FC236}">
              <a16:creationId xmlns:a16="http://schemas.microsoft.com/office/drawing/2014/main" id="{00000000-0008-0000-3200-000059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396</xdr:row>
      <xdr:rowOff>28440</xdr:rowOff>
    </xdr:from>
    <xdr:to>
      <xdr:col>7</xdr:col>
      <xdr:colOff>-363960</xdr:colOff>
      <xdr:row>397</xdr:row>
      <xdr:rowOff>0</xdr:rowOff>
    </xdr:to>
    <xdr:sp macro="" textlink="">
      <xdr:nvSpPr>
        <xdr:cNvPr id="1882" name="Option Button 1881">
          <a:extLst>
            <a:ext uri="{FF2B5EF4-FFF2-40B4-BE49-F238E27FC236}">
              <a16:creationId xmlns:a16="http://schemas.microsoft.com/office/drawing/2014/main" id="{00000000-0008-0000-3200-00005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3" name="Option Button 1882">
          <a:extLst>
            <a:ext uri="{FF2B5EF4-FFF2-40B4-BE49-F238E27FC236}">
              <a16:creationId xmlns:a16="http://schemas.microsoft.com/office/drawing/2014/main" id="{00000000-0008-0000-3200-00005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4" name="Option Button 1883">
          <a:extLst>
            <a:ext uri="{FF2B5EF4-FFF2-40B4-BE49-F238E27FC236}">
              <a16:creationId xmlns:a16="http://schemas.microsoft.com/office/drawing/2014/main" id="{00000000-0008-0000-3200-00005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5" name="Option Button 1884">
          <a:extLst>
            <a:ext uri="{FF2B5EF4-FFF2-40B4-BE49-F238E27FC236}">
              <a16:creationId xmlns:a16="http://schemas.microsoft.com/office/drawing/2014/main" id="{00000000-0008-0000-3200-00005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6" name="Group Box 1885" descr="Group Box 5">
          <a:extLst>
            <a:ext uri="{FF2B5EF4-FFF2-40B4-BE49-F238E27FC236}">
              <a16:creationId xmlns:a16="http://schemas.microsoft.com/office/drawing/2014/main" id="{00000000-0008-0000-3200-00005E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397</xdr:row>
      <xdr:rowOff>28440</xdr:rowOff>
    </xdr:from>
    <xdr:to>
      <xdr:col>7</xdr:col>
      <xdr:colOff>-363960</xdr:colOff>
      <xdr:row>398</xdr:row>
      <xdr:rowOff>0</xdr:rowOff>
    </xdr:to>
    <xdr:sp macro="" textlink="">
      <xdr:nvSpPr>
        <xdr:cNvPr id="1887" name="Option Button 1886">
          <a:extLst>
            <a:ext uri="{FF2B5EF4-FFF2-40B4-BE49-F238E27FC236}">
              <a16:creationId xmlns:a16="http://schemas.microsoft.com/office/drawing/2014/main" id="{00000000-0008-0000-3200-00005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8" name="Option Button 1887">
          <a:extLst>
            <a:ext uri="{FF2B5EF4-FFF2-40B4-BE49-F238E27FC236}">
              <a16:creationId xmlns:a16="http://schemas.microsoft.com/office/drawing/2014/main" id="{00000000-0008-0000-3200-00006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9" name="Option Button 1888">
          <a:extLst>
            <a:ext uri="{FF2B5EF4-FFF2-40B4-BE49-F238E27FC236}">
              <a16:creationId xmlns:a16="http://schemas.microsoft.com/office/drawing/2014/main" id="{00000000-0008-0000-3200-00006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0" name="Option Button 1889">
          <a:extLst>
            <a:ext uri="{FF2B5EF4-FFF2-40B4-BE49-F238E27FC236}">
              <a16:creationId xmlns:a16="http://schemas.microsoft.com/office/drawing/2014/main" id="{00000000-0008-0000-3200-00006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1" name="Group Box 1890" descr="Group Box 5">
          <a:extLst>
            <a:ext uri="{FF2B5EF4-FFF2-40B4-BE49-F238E27FC236}">
              <a16:creationId xmlns:a16="http://schemas.microsoft.com/office/drawing/2014/main" id="{00000000-0008-0000-3200-000063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398</xdr:row>
      <xdr:rowOff>28440</xdr:rowOff>
    </xdr:from>
    <xdr:to>
      <xdr:col>7</xdr:col>
      <xdr:colOff>-363960</xdr:colOff>
      <xdr:row>399</xdr:row>
      <xdr:rowOff>0</xdr:rowOff>
    </xdr:to>
    <xdr:sp macro="" textlink="">
      <xdr:nvSpPr>
        <xdr:cNvPr id="1892" name="Option Button 1891">
          <a:extLst>
            <a:ext uri="{FF2B5EF4-FFF2-40B4-BE49-F238E27FC236}">
              <a16:creationId xmlns:a16="http://schemas.microsoft.com/office/drawing/2014/main" id="{00000000-0008-0000-3200-00006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3" name="Option Button 1892">
          <a:extLst>
            <a:ext uri="{FF2B5EF4-FFF2-40B4-BE49-F238E27FC236}">
              <a16:creationId xmlns:a16="http://schemas.microsoft.com/office/drawing/2014/main" id="{00000000-0008-0000-3200-00006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4" name="Option Button 1893">
          <a:extLst>
            <a:ext uri="{FF2B5EF4-FFF2-40B4-BE49-F238E27FC236}">
              <a16:creationId xmlns:a16="http://schemas.microsoft.com/office/drawing/2014/main" id="{00000000-0008-0000-3200-00006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5" name="Option Button 1894">
          <a:extLst>
            <a:ext uri="{FF2B5EF4-FFF2-40B4-BE49-F238E27FC236}">
              <a16:creationId xmlns:a16="http://schemas.microsoft.com/office/drawing/2014/main" id="{00000000-0008-0000-3200-00006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6" name="Group Box 1895" descr="Group Box 5">
          <a:extLst>
            <a:ext uri="{FF2B5EF4-FFF2-40B4-BE49-F238E27FC236}">
              <a16:creationId xmlns:a16="http://schemas.microsoft.com/office/drawing/2014/main" id="{00000000-0008-0000-3200-000068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399</xdr:row>
      <xdr:rowOff>28440</xdr:rowOff>
    </xdr:from>
    <xdr:to>
      <xdr:col>7</xdr:col>
      <xdr:colOff>-363960</xdr:colOff>
      <xdr:row>400</xdr:row>
      <xdr:rowOff>0</xdr:rowOff>
    </xdr:to>
    <xdr:sp macro="" textlink="">
      <xdr:nvSpPr>
        <xdr:cNvPr id="1897" name="Option Button 1896">
          <a:extLst>
            <a:ext uri="{FF2B5EF4-FFF2-40B4-BE49-F238E27FC236}">
              <a16:creationId xmlns:a16="http://schemas.microsoft.com/office/drawing/2014/main" id="{00000000-0008-0000-3200-00006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8" name="Option Button 1897">
          <a:extLst>
            <a:ext uri="{FF2B5EF4-FFF2-40B4-BE49-F238E27FC236}">
              <a16:creationId xmlns:a16="http://schemas.microsoft.com/office/drawing/2014/main" id="{00000000-0008-0000-3200-00006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9" name="Option Button 1898">
          <a:extLst>
            <a:ext uri="{FF2B5EF4-FFF2-40B4-BE49-F238E27FC236}">
              <a16:creationId xmlns:a16="http://schemas.microsoft.com/office/drawing/2014/main" id="{00000000-0008-0000-3200-00006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0" name="Option Button 1899">
          <a:extLst>
            <a:ext uri="{FF2B5EF4-FFF2-40B4-BE49-F238E27FC236}">
              <a16:creationId xmlns:a16="http://schemas.microsoft.com/office/drawing/2014/main" id="{00000000-0008-0000-3200-00006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1" name="Group Box 1900" descr="Group Box 5">
          <a:extLst>
            <a:ext uri="{FF2B5EF4-FFF2-40B4-BE49-F238E27FC236}">
              <a16:creationId xmlns:a16="http://schemas.microsoft.com/office/drawing/2014/main" id="{00000000-0008-0000-3200-00006D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400</xdr:row>
      <xdr:rowOff>28440</xdr:rowOff>
    </xdr:from>
    <xdr:to>
      <xdr:col>7</xdr:col>
      <xdr:colOff>-363960</xdr:colOff>
      <xdr:row>401</xdr:row>
      <xdr:rowOff>0</xdr:rowOff>
    </xdr:to>
    <xdr:sp macro="" textlink="">
      <xdr:nvSpPr>
        <xdr:cNvPr id="1902" name="Option Button 1901">
          <a:extLst>
            <a:ext uri="{FF2B5EF4-FFF2-40B4-BE49-F238E27FC236}">
              <a16:creationId xmlns:a16="http://schemas.microsoft.com/office/drawing/2014/main" id="{00000000-0008-0000-3200-00006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3" name="Option Button 1902">
          <a:extLst>
            <a:ext uri="{FF2B5EF4-FFF2-40B4-BE49-F238E27FC236}">
              <a16:creationId xmlns:a16="http://schemas.microsoft.com/office/drawing/2014/main" id="{00000000-0008-0000-3200-00006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4" name="Option Button 1903">
          <a:extLst>
            <a:ext uri="{FF2B5EF4-FFF2-40B4-BE49-F238E27FC236}">
              <a16:creationId xmlns:a16="http://schemas.microsoft.com/office/drawing/2014/main" id="{00000000-0008-0000-3200-00007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5" name="Option Button 1904">
          <a:extLst>
            <a:ext uri="{FF2B5EF4-FFF2-40B4-BE49-F238E27FC236}">
              <a16:creationId xmlns:a16="http://schemas.microsoft.com/office/drawing/2014/main" id="{00000000-0008-0000-3200-00007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6" name="Group Box 1905" descr="Group Box 5">
          <a:extLst>
            <a:ext uri="{FF2B5EF4-FFF2-40B4-BE49-F238E27FC236}">
              <a16:creationId xmlns:a16="http://schemas.microsoft.com/office/drawing/2014/main" id="{00000000-0008-0000-3200-000072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401</xdr:row>
      <xdr:rowOff>28440</xdr:rowOff>
    </xdr:from>
    <xdr:to>
      <xdr:col>7</xdr:col>
      <xdr:colOff>-363960</xdr:colOff>
      <xdr:row>402</xdr:row>
      <xdr:rowOff>0</xdr:rowOff>
    </xdr:to>
    <xdr:sp macro="" textlink="">
      <xdr:nvSpPr>
        <xdr:cNvPr id="1907" name="Option Button 1906">
          <a:extLst>
            <a:ext uri="{FF2B5EF4-FFF2-40B4-BE49-F238E27FC236}">
              <a16:creationId xmlns:a16="http://schemas.microsoft.com/office/drawing/2014/main" id="{00000000-0008-0000-3200-00007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8" name="Option Button 1907">
          <a:extLst>
            <a:ext uri="{FF2B5EF4-FFF2-40B4-BE49-F238E27FC236}">
              <a16:creationId xmlns:a16="http://schemas.microsoft.com/office/drawing/2014/main" id="{00000000-0008-0000-3200-00007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9" name="Option Button 1908">
          <a:extLst>
            <a:ext uri="{FF2B5EF4-FFF2-40B4-BE49-F238E27FC236}">
              <a16:creationId xmlns:a16="http://schemas.microsoft.com/office/drawing/2014/main" id="{00000000-0008-0000-3200-00007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0" name="Option Button 1909">
          <a:extLst>
            <a:ext uri="{FF2B5EF4-FFF2-40B4-BE49-F238E27FC236}">
              <a16:creationId xmlns:a16="http://schemas.microsoft.com/office/drawing/2014/main" id="{00000000-0008-0000-3200-00007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1" name="Group Box 1910" descr="Group Box 5">
          <a:extLst>
            <a:ext uri="{FF2B5EF4-FFF2-40B4-BE49-F238E27FC236}">
              <a16:creationId xmlns:a16="http://schemas.microsoft.com/office/drawing/2014/main" id="{00000000-0008-0000-3200-000077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402</xdr:row>
      <xdr:rowOff>28440</xdr:rowOff>
    </xdr:from>
    <xdr:to>
      <xdr:col>7</xdr:col>
      <xdr:colOff>-363960</xdr:colOff>
      <xdr:row>403</xdr:row>
      <xdr:rowOff>0</xdr:rowOff>
    </xdr:to>
    <xdr:sp macro="" textlink="">
      <xdr:nvSpPr>
        <xdr:cNvPr id="1912" name="Option Button 1911">
          <a:extLst>
            <a:ext uri="{FF2B5EF4-FFF2-40B4-BE49-F238E27FC236}">
              <a16:creationId xmlns:a16="http://schemas.microsoft.com/office/drawing/2014/main" id="{00000000-0008-0000-3200-00007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3" name="Option Button 1912">
          <a:extLst>
            <a:ext uri="{FF2B5EF4-FFF2-40B4-BE49-F238E27FC236}">
              <a16:creationId xmlns:a16="http://schemas.microsoft.com/office/drawing/2014/main" id="{00000000-0008-0000-3200-00007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4" name="Option Button 1913">
          <a:extLst>
            <a:ext uri="{FF2B5EF4-FFF2-40B4-BE49-F238E27FC236}">
              <a16:creationId xmlns:a16="http://schemas.microsoft.com/office/drawing/2014/main" id="{00000000-0008-0000-3200-00007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5" name="Option Button 1914">
          <a:extLst>
            <a:ext uri="{FF2B5EF4-FFF2-40B4-BE49-F238E27FC236}">
              <a16:creationId xmlns:a16="http://schemas.microsoft.com/office/drawing/2014/main" id="{00000000-0008-0000-3200-00007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6" name="Group Box 1915" descr="Group Box 5">
          <a:extLst>
            <a:ext uri="{FF2B5EF4-FFF2-40B4-BE49-F238E27FC236}">
              <a16:creationId xmlns:a16="http://schemas.microsoft.com/office/drawing/2014/main" id="{00000000-0008-0000-3200-00007C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403</xdr:row>
      <xdr:rowOff>28440</xdr:rowOff>
    </xdr:from>
    <xdr:to>
      <xdr:col>7</xdr:col>
      <xdr:colOff>-363960</xdr:colOff>
      <xdr:row>404</xdr:row>
      <xdr:rowOff>0</xdr:rowOff>
    </xdr:to>
    <xdr:sp macro="" textlink="">
      <xdr:nvSpPr>
        <xdr:cNvPr id="1917" name="Option Button 1916">
          <a:extLst>
            <a:ext uri="{FF2B5EF4-FFF2-40B4-BE49-F238E27FC236}">
              <a16:creationId xmlns:a16="http://schemas.microsoft.com/office/drawing/2014/main" id="{00000000-0008-0000-3200-00007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8" name="Option Button 1917">
          <a:extLst>
            <a:ext uri="{FF2B5EF4-FFF2-40B4-BE49-F238E27FC236}">
              <a16:creationId xmlns:a16="http://schemas.microsoft.com/office/drawing/2014/main" id="{00000000-0008-0000-3200-00007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9" name="Option Button 1918">
          <a:extLst>
            <a:ext uri="{FF2B5EF4-FFF2-40B4-BE49-F238E27FC236}">
              <a16:creationId xmlns:a16="http://schemas.microsoft.com/office/drawing/2014/main" id="{00000000-0008-0000-3200-00007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0" name="Option Button 1919">
          <a:extLst>
            <a:ext uri="{FF2B5EF4-FFF2-40B4-BE49-F238E27FC236}">
              <a16:creationId xmlns:a16="http://schemas.microsoft.com/office/drawing/2014/main" id="{00000000-0008-0000-3200-00008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1" name="Group Box 1920" descr="Group Box 5">
          <a:extLst>
            <a:ext uri="{FF2B5EF4-FFF2-40B4-BE49-F238E27FC236}">
              <a16:creationId xmlns:a16="http://schemas.microsoft.com/office/drawing/2014/main" id="{00000000-0008-0000-3200-000081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404</xdr:row>
      <xdr:rowOff>28440</xdr:rowOff>
    </xdr:from>
    <xdr:to>
      <xdr:col>7</xdr:col>
      <xdr:colOff>-363960</xdr:colOff>
      <xdr:row>405</xdr:row>
      <xdr:rowOff>0</xdr:rowOff>
    </xdr:to>
    <xdr:sp macro="" textlink="">
      <xdr:nvSpPr>
        <xdr:cNvPr id="1922" name="Option Button 1921">
          <a:extLst>
            <a:ext uri="{FF2B5EF4-FFF2-40B4-BE49-F238E27FC236}">
              <a16:creationId xmlns:a16="http://schemas.microsoft.com/office/drawing/2014/main" id="{00000000-0008-0000-3200-00008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3" name="Option Button 1922">
          <a:extLst>
            <a:ext uri="{FF2B5EF4-FFF2-40B4-BE49-F238E27FC236}">
              <a16:creationId xmlns:a16="http://schemas.microsoft.com/office/drawing/2014/main" id="{00000000-0008-0000-3200-00008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4" name="Option Button 1923">
          <a:extLst>
            <a:ext uri="{FF2B5EF4-FFF2-40B4-BE49-F238E27FC236}">
              <a16:creationId xmlns:a16="http://schemas.microsoft.com/office/drawing/2014/main" id="{00000000-0008-0000-3200-00008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5" name="Option Button 1924">
          <a:extLst>
            <a:ext uri="{FF2B5EF4-FFF2-40B4-BE49-F238E27FC236}">
              <a16:creationId xmlns:a16="http://schemas.microsoft.com/office/drawing/2014/main" id="{00000000-0008-0000-3200-00008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6" name="Group Box 1925" descr="Group Box 5">
          <a:extLst>
            <a:ext uri="{FF2B5EF4-FFF2-40B4-BE49-F238E27FC236}">
              <a16:creationId xmlns:a16="http://schemas.microsoft.com/office/drawing/2014/main" id="{00000000-0008-0000-3200-000086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405</xdr:row>
      <xdr:rowOff>28440</xdr:rowOff>
    </xdr:from>
    <xdr:to>
      <xdr:col>7</xdr:col>
      <xdr:colOff>-363960</xdr:colOff>
      <xdr:row>406</xdr:row>
      <xdr:rowOff>0</xdr:rowOff>
    </xdr:to>
    <xdr:sp macro="" textlink="">
      <xdr:nvSpPr>
        <xdr:cNvPr id="1927" name="Option Button 1926">
          <a:extLst>
            <a:ext uri="{FF2B5EF4-FFF2-40B4-BE49-F238E27FC236}">
              <a16:creationId xmlns:a16="http://schemas.microsoft.com/office/drawing/2014/main" id="{00000000-0008-0000-3200-00008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8" name="Option Button 1927">
          <a:extLst>
            <a:ext uri="{FF2B5EF4-FFF2-40B4-BE49-F238E27FC236}">
              <a16:creationId xmlns:a16="http://schemas.microsoft.com/office/drawing/2014/main" id="{00000000-0008-0000-3200-00008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9" name="Option Button 1928">
          <a:extLst>
            <a:ext uri="{FF2B5EF4-FFF2-40B4-BE49-F238E27FC236}">
              <a16:creationId xmlns:a16="http://schemas.microsoft.com/office/drawing/2014/main" id="{00000000-0008-0000-3200-00008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0" name="Option Button 1929">
          <a:extLst>
            <a:ext uri="{FF2B5EF4-FFF2-40B4-BE49-F238E27FC236}">
              <a16:creationId xmlns:a16="http://schemas.microsoft.com/office/drawing/2014/main" id="{00000000-0008-0000-3200-00008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1" name="Group Box 1930" descr="Group Box 5">
          <a:extLst>
            <a:ext uri="{FF2B5EF4-FFF2-40B4-BE49-F238E27FC236}">
              <a16:creationId xmlns:a16="http://schemas.microsoft.com/office/drawing/2014/main" id="{00000000-0008-0000-3200-00008B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406</xdr:row>
      <xdr:rowOff>28440</xdr:rowOff>
    </xdr:from>
    <xdr:to>
      <xdr:col>7</xdr:col>
      <xdr:colOff>-363960</xdr:colOff>
      <xdr:row>407</xdr:row>
      <xdr:rowOff>0</xdr:rowOff>
    </xdr:to>
    <xdr:sp macro="" textlink="">
      <xdr:nvSpPr>
        <xdr:cNvPr id="1932" name="Option Button 1931">
          <a:extLst>
            <a:ext uri="{FF2B5EF4-FFF2-40B4-BE49-F238E27FC236}">
              <a16:creationId xmlns:a16="http://schemas.microsoft.com/office/drawing/2014/main" id="{00000000-0008-0000-3200-00008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3" name="Option Button 1932">
          <a:extLst>
            <a:ext uri="{FF2B5EF4-FFF2-40B4-BE49-F238E27FC236}">
              <a16:creationId xmlns:a16="http://schemas.microsoft.com/office/drawing/2014/main" id="{00000000-0008-0000-3200-00008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4" name="Option Button 1933">
          <a:extLst>
            <a:ext uri="{FF2B5EF4-FFF2-40B4-BE49-F238E27FC236}">
              <a16:creationId xmlns:a16="http://schemas.microsoft.com/office/drawing/2014/main" id="{00000000-0008-0000-3200-00008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5" name="Option Button 1934">
          <a:extLst>
            <a:ext uri="{FF2B5EF4-FFF2-40B4-BE49-F238E27FC236}">
              <a16:creationId xmlns:a16="http://schemas.microsoft.com/office/drawing/2014/main" id="{00000000-0008-0000-3200-00008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6" name="Group Box 1935" descr="Group Box 5">
          <a:extLst>
            <a:ext uri="{FF2B5EF4-FFF2-40B4-BE49-F238E27FC236}">
              <a16:creationId xmlns:a16="http://schemas.microsoft.com/office/drawing/2014/main" id="{00000000-0008-0000-3200-000090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407</xdr:row>
      <xdr:rowOff>28440</xdr:rowOff>
    </xdr:from>
    <xdr:to>
      <xdr:col>7</xdr:col>
      <xdr:colOff>-363960</xdr:colOff>
      <xdr:row>408</xdr:row>
      <xdr:rowOff>0</xdr:rowOff>
    </xdr:to>
    <xdr:sp macro="" textlink="">
      <xdr:nvSpPr>
        <xdr:cNvPr id="1937" name="Option Button 1936">
          <a:extLst>
            <a:ext uri="{FF2B5EF4-FFF2-40B4-BE49-F238E27FC236}">
              <a16:creationId xmlns:a16="http://schemas.microsoft.com/office/drawing/2014/main" id="{00000000-0008-0000-3200-00009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8" name="Option Button 1937">
          <a:extLst>
            <a:ext uri="{FF2B5EF4-FFF2-40B4-BE49-F238E27FC236}">
              <a16:creationId xmlns:a16="http://schemas.microsoft.com/office/drawing/2014/main" id="{00000000-0008-0000-3200-00009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9" name="Option Button 1938">
          <a:extLst>
            <a:ext uri="{FF2B5EF4-FFF2-40B4-BE49-F238E27FC236}">
              <a16:creationId xmlns:a16="http://schemas.microsoft.com/office/drawing/2014/main" id="{00000000-0008-0000-3200-00009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0" name="Option Button 1939">
          <a:extLst>
            <a:ext uri="{FF2B5EF4-FFF2-40B4-BE49-F238E27FC236}">
              <a16:creationId xmlns:a16="http://schemas.microsoft.com/office/drawing/2014/main" id="{00000000-0008-0000-3200-00009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1" name="Group Box 1940" descr="Group Box 5">
          <a:extLst>
            <a:ext uri="{FF2B5EF4-FFF2-40B4-BE49-F238E27FC236}">
              <a16:creationId xmlns:a16="http://schemas.microsoft.com/office/drawing/2014/main" id="{00000000-0008-0000-3200-000095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408</xdr:row>
      <xdr:rowOff>28440</xdr:rowOff>
    </xdr:from>
    <xdr:to>
      <xdr:col>7</xdr:col>
      <xdr:colOff>-363960</xdr:colOff>
      <xdr:row>409</xdr:row>
      <xdr:rowOff>0</xdr:rowOff>
    </xdr:to>
    <xdr:sp macro="" textlink="">
      <xdr:nvSpPr>
        <xdr:cNvPr id="1942" name="Option Button 1941">
          <a:extLst>
            <a:ext uri="{FF2B5EF4-FFF2-40B4-BE49-F238E27FC236}">
              <a16:creationId xmlns:a16="http://schemas.microsoft.com/office/drawing/2014/main" id="{00000000-0008-0000-3200-00009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3" name="Option Button 1942">
          <a:extLst>
            <a:ext uri="{FF2B5EF4-FFF2-40B4-BE49-F238E27FC236}">
              <a16:creationId xmlns:a16="http://schemas.microsoft.com/office/drawing/2014/main" id="{00000000-0008-0000-3200-00009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4" name="Option Button 1943">
          <a:extLst>
            <a:ext uri="{FF2B5EF4-FFF2-40B4-BE49-F238E27FC236}">
              <a16:creationId xmlns:a16="http://schemas.microsoft.com/office/drawing/2014/main" id="{00000000-0008-0000-3200-00009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5" name="Option Button 1944">
          <a:extLst>
            <a:ext uri="{FF2B5EF4-FFF2-40B4-BE49-F238E27FC236}">
              <a16:creationId xmlns:a16="http://schemas.microsoft.com/office/drawing/2014/main" id="{00000000-0008-0000-3200-00009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6" name="Group Box 1945" descr="Group Box 5">
          <a:extLst>
            <a:ext uri="{FF2B5EF4-FFF2-40B4-BE49-F238E27FC236}">
              <a16:creationId xmlns:a16="http://schemas.microsoft.com/office/drawing/2014/main" id="{00000000-0008-0000-3200-00009A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409</xdr:row>
      <xdr:rowOff>28440</xdr:rowOff>
    </xdr:from>
    <xdr:to>
      <xdr:col>7</xdr:col>
      <xdr:colOff>-363960</xdr:colOff>
      <xdr:row>410</xdr:row>
      <xdr:rowOff>0</xdr:rowOff>
    </xdr:to>
    <xdr:sp macro="" textlink="">
      <xdr:nvSpPr>
        <xdr:cNvPr id="1947" name="Option Button 1946">
          <a:extLst>
            <a:ext uri="{FF2B5EF4-FFF2-40B4-BE49-F238E27FC236}">
              <a16:creationId xmlns:a16="http://schemas.microsoft.com/office/drawing/2014/main" id="{00000000-0008-0000-3200-00009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8" name="Option Button 1947">
          <a:extLst>
            <a:ext uri="{FF2B5EF4-FFF2-40B4-BE49-F238E27FC236}">
              <a16:creationId xmlns:a16="http://schemas.microsoft.com/office/drawing/2014/main" id="{00000000-0008-0000-3200-00009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9" name="Option Button 1948">
          <a:extLst>
            <a:ext uri="{FF2B5EF4-FFF2-40B4-BE49-F238E27FC236}">
              <a16:creationId xmlns:a16="http://schemas.microsoft.com/office/drawing/2014/main" id="{00000000-0008-0000-3200-00009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0" name="Option Button 1949">
          <a:extLst>
            <a:ext uri="{FF2B5EF4-FFF2-40B4-BE49-F238E27FC236}">
              <a16:creationId xmlns:a16="http://schemas.microsoft.com/office/drawing/2014/main" id="{00000000-0008-0000-3200-00009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1" name="Group Box 1950" descr="Group Box 5">
          <a:extLst>
            <a:ext uri="{FF2B5EF4-FFF2-40B4-BE49-F238E27FC236}">
              <a16:creationId xmlns:a16="http://schemas.microsoft.com/office/drawing/2014/main" id="{00000000-0008-0000-3200-00009F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410</xdr:row>
      <xdr:rowOff>28440</xdr:rowOff>
    </xdr:from>
    <xdr:to>
      <xdr:col>7</xdr:col>
      <xdr:colOff>-363960</xdr:colOff>
      <xdr:row>411</xdr:row>
      <xdr:rowOff>0</xdr:rowOff>
    </xdr:to>
    <xdr:sp macro="" textlink="">
      <xdr:nvSpPr>
        <xdr:cNvPr id="1952" name="Option Button 1951">
          <a:extLst>
            <a:ext uri="{FF2B5EF4-FFF2-40B4-BE49-F238E27FC236}">
              <a16:creationId xmlns:a16="http://schemas.microsoft.com/office/drawing/2014/main" id="{00000000-0008-0000-3200-0000A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3" name="Option Button 1952">
          <a:extLst>
            <a:ext uri="{FF2B5EF4-FFF2-40B4-BE49-F238E27FC236}">
              <a16:creationId xmlns:a16="http://schemas.microsoft.com/office/drawing/2014/main" id="{00000000-0008-0000-3200-0000A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4" name="Option Button 1953">
          <a:extLst>
            <a:ext uri="{FF2B5EF4-FFF2-40B4-BE49-F238E27FC236}">
              <a16:creationId xmlns:a16="http://schemas.microsoft.com/office/drawing/2014/main" id="{00000000-0008-0000-3200-0000A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5" name="Option Button 1954">
          <a:extLst>
            <a:ext uri="{FF2B5EF4-FFF2-40B4-BE49-F238E27FC236}">
              <a16:creationId xmlns:a16="http://schemas.microsoft.com/office/drawing/2014/main" id="{00000000-0008-0000-3200-0000A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6" name="Group Box 1955" descr="Group Box 5">
          <a:extLst>
            <a:ext uri="{FF2B5EF4-FFF2-40B4-BE49-F238E27FC236}">
              <a16:creationId xmlns:a16="http://schemas.microsoft.com/office/drawing/2014/main" id="{00000000-0008-0000-3200-0000A4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411</xdr:row>
      <xdr:rowOff>28440</xdr:rowOff>
    </xdr:from>
    <xdr:to>
      <xdr:col>7</xdr:col>
      <xdr:colOff>-363960</xdr:colOff>
      <xdr:row>412</xdr:row>
      <xdr:rowOff>0</xdr:rowOff>
    </xdr:to>
    <xdr:sp macro="" textlink="">
      <xdr:nvSpPr>
        <xdr:cNvPr id="1957" name="Option Button 1956">
          <a:extLst>
            <a:ext uri="{FF2B5EF4-FFF2-40B4-BE49-F238E27FC236}">
              <a16:creationId xmlns:a16="http://schemas.microsoft.com/office/drawing/2014/main" id="{00000000-0008-0000-3200-0000A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8" name="Option Button 1957">
          <a:extLst>
            <a:ext uri="{FF2B5EF4-FFF2-40B4-BE49-F238E27FC236}">
              <a16:creationId xmlns:a16="http://schemas.microsoft.com/office/drawing/2014/main" id="{00000000-0008-0000-3200-0000A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9" name="Option Button 1958">
          <a:extLst>
            <a:ext uri="{FF2B5EF4-FFF2-40B4-BE49-F238E27FC236}">
              <a16:creationId xmlns:a16="http://schemas.microsoft.com/office/drawing/2014/main" id="{00000000-0008-0000-3200-0000A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0" name="Option Button 1959">
          <a:extLst>
            <a:ext uri="{FF2B5EF4-FFF2-40B4-BE49-F238E27FC236}">
              <a16:creationId xmlns:a16="http://schemas.microsoft.com/office/drawing/2014/main" id="{00000000-0008-0000-3200-0000A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1" name="Group Box 1960" descr="Group Box 5">
          <a:extLst>
            <a:ext uri="{FF2B5EF4-FFF2-40B4-BE49-F238E27FC236}">
              <a16:creationId xmlns:a16="http://schemas.microsoft.com/office/drawing/2014/main" id="{00000000-0008-0000-3200-0000A9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412</xdr:row>
      <xdr:rowOff>28440</xdr:rowOff>
    </xdr:from>
    <xdr:to>
      <xdr:col>7</xdr:col>
      <xdr:colOff>-363960</xdr:colOff>
      <xdr:row>413</xdr:row>
      <xdr:rowOff>0</xdr:rowOff>
    </xdr:to>
    <xdr:sp macro="" textlink="">
      <xdr:nvSpPr>
        <xdr:cNvPr id="1962" name="Option Button 1961">
          <a:extLst>
            <a:ext uri="{FF2B5EF4-FFF2-40B4-BE49-F238E27FC236}">
              <a16:creationId xmlns:a16="http://schemas.microsoft.com/office/drawing/2014/main" id="{00000000-0008-0000-3200-0000A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3" name="Option Button 1962">
          <a:extLst>
            <a:ext uri="{FF2B5EF4-FFF2-40B4-BE49-F238E27FC236}">
              <a16:creationId xmlns:a16="http://schemas.microsoft.com/office/drawing/2014/main" id="{00000000-0008-0000-3200-0000A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4" name="Option Button 1963">
          <a:extLst>
            <a:ext uri="{FF2B5EF4-FFF2-40B4-BE49-F238E27FC236}">
              <a16:creationId xmlns:a16="http://schemas.microsoft.com/office/drawing/2014/main" id="{00000000-0008-0000-3200-0000A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5" name="Option Button 1964">
          <a:extLst>
            <a:ext uri="{FF2B5EF4-FFF2-40B4-BE49-F238E27FC236}">
              <a16:creationId xmlns:a16="http://schemas.microsoft.com/office/drawing/2014/main" id="{00000000-0008-0000-3200-0000A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6" name="Group Box 1965" descr="Group Box 5">
          <a:extLst>
            <a:ext uri="{FF2B5EF4-FFF2-40B4-BE49-F238E27FC236}">
              <a16:creationId xmlns:a16="http://schemas.microsoft.com/office/drawing/2014/main" id="{00000000-0008-0000-3200-0000AE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413</xdr:row>
      <xdr:rowOff>28440</xdr:rowOff>
    </xdr:from>
    <xdr:to>
      <xdr:col>7</xdr:col>
      <xdr:colOff>-363960</xdr:colOff>
      <xdr:row>414</xdr:row>
      <xdr:rowOff>0</xdr:rowOff>
    </xdr:to>
    <xdr:sp macro="" textlink="">
      <xdr:nvSpPr>
        <xdr:cNvPr id="1967" name="Option Button 1966">
          <a:extLst>
            <a:ext uri="{FF2B5EF4-FFF2-40B4-BE49-F238E27FC236}">
              <a16:creationId xmlns:a16="http://schemas.microsoft.com/office/drawing/2014/main" id="{00000000-0008-0000-3200-0000A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8" name="Option Button 1967">
          <a:extLst>
            <a:ext uri="{FF2B5EF4-FFF2-40B4-BE49-F238E27FC236}">
              <a16:creationId xmlns:a16="http://schemas.microsoft.com/office/drawing/2014/main" id="{00000000-0008-0000-3200-0000B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9" name="Option Button 1968">
          <a:extLst>
            <a:ext uri="{FF2B5EF4-FFF2-40B4-BE49-F238E27FC236}">
              <a16:creationId xmlns:a16="http://schemas.microsoft.com/office/drawing/2014/main" id="{00000000-0008-0000-3200-0000B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0" name="Option Button 1969">
          <a:extLst>
            <a:ext uri="{FF2B5EF4-FFF2-40B4-BE49-F238E27FC236}">
              <a16:creationId xmlns:a16="http://schemas.microsoft.com/office/drawing/2014/main" id="{00000000-0008-0000-3200-0000B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1" name="Group Box 1970" descr="Group Box 5">
          <a:extLst>
            <a:ext uri="{FF2B5EF4-FFF2-40B4-BE49-F238E27FC236}">
              <a16:creationId xmlns:a16="http://schemas.microsoft.com/office/drawing/2014/main" id="{00000000-0008-0000-3200-0000B3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414</xdr:row>
      <xdr:rowOff>28440</xdr:rowOff>
    </xdr:from>
    <xdr:to>
      <xdr:col>7</xdr:col>
      <xdr:colOff>-363960</xdr:colOff>
      <xdr:row>415</xdr:row>
      <xdr:rowOff>0</xdr:rowOff>
    </xdr:to>
    <xdr:sp macro="" textlink="">
      <xdr:nvSpPr>
        <xdr:cNvPr id="1972" name="Option Button 1971">
          <a:extLst>
            <a:ext uri="{FF2B5EF4-FFF2-40B4-BE49-F238E27FC236}">
              <a16:creationId xmlns:a16="http://schemas.microsoft.com/office/drawing/2014/main" id="{00000000-0008-0000-3200-0000B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3" name="Option Button 1972">
          <a:extLst>
            <a:ext uri="{FF2B5EF4-FFF2-40B4-BE49-F238E27FC236}">
              <a16:creationId xmlns:a16="http://schemas.microsoft.com/office/drawing/2014/main" id="{00000000-0008-0000-3200-0000B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4" name="Option Button 1973">
          <a:extLst>
            <a:ext uri="{FF2B5EF4-FFF2-40B4-BE49-F238E27FC236}">
              <a16:creationId xmlns:a16="http://schemas.microsoft.com/office/drawing/2014/main" id="{00000000-0008-0000-3200-0000B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5" name="Option Button 1974">
          <a:extLst>
            <a:ext uri="{FF2B5EF4-FFF2-40B4-BE49-F238E27FC236}">
              <a16:creationId xmlns:a16="http://schemas.microsoft.com/office/drawing/2014/main" id="{00000000-0008-0000-3200-0000B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6" name="Group Box 1975" descr="Group Box 5">
          <a:extLst>
            <a:ext uri="{FF2B5EF4-FFF2-40B4-BE49-F238E27FC236}">
              <a16:creationId xmlns:a16="http://schemas.microsoft.com/office/drawing/2014/main" id="{00000000-0008-0000-3200-0000B8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415</xdr:row>
      <xdr:rowOff>28440</xdr:rowOff>
    </xdr:from>
    <xdr:to>
      <xdr:col>7</xdr:col>
      <xdr:colOff>-363960</xdr:colOff>
      <xdr:row>416</xdr:row>
      <xdr:rowOff>0</xdr:rowOff>
    </xdr:to>
    <xdr:sp macro="" textlink="">
      <xdr:nvSpPr>
        <xdr:cNvPr id="1977" name="Option Button 1976">
          <a:extLst>
            <a:ext uri="{FF2B5EF4-FFF2-40B4-BE49-F238E27FC236}">
              <a16:creationId xmlns:a16="http://schemas.microsoft.com/office/drawing/2014/main" id="{00000000-0008-0000-3200-0000B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8" name="Option Button 1977">
          <a:extLst>
            <a:ext uri="{FF2B5EF4-FFF2-40B4-BE49-F238E27FC236}">
              <a16:creationId xmlns:a16="http://schemas.microsoft.com/office/drawing/2014/main" id="{00000000-0008-0000-3200-0000B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9" name="Option Button 1978">
          <a:extLst>
            <a:ext uri="{FF2B5EF4-FFF2-40B4-BE49-F238E27FC236}">
              <a16:creationId xmlns:a16="http://schemas.microsoft.com/office/drawing/2014/main" id="{00000000-0008-0000-3200-0000B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0" name="Option Button 1979">
          <a:extLst>
            <a:ext uri="{FF2B5EF4-FFF2-40B4-BE49-F238E27FC236}">
              <a16:creationId xmlns:a16="http://schemas.microsoft.com/office/drawing/2014/main" id="{00000000-0008-0000-3200-0000B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1" name="Group Box 1980" descr="Group Box 5">
          <a:extLst>
            <a:ext uri="{FF2B5EF4-FFF2-40B4-BE49-F238E27FC236}">
              <a16:creationId xmlns:a16="http://schemas.microsoft.com/office/drawing/2014/main" id="{00000000-0008-0000-3200-0000BD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416</xdr:row>
      <xdr:rowOff>28440</xdr:rowOff>
    </xdr:from>
    <xdr:to>
      <xdr:col>7</xdr:col>
      <xdr:colOff>-363960</xdr:colOff>
      <xdr:row>417</xdr:row>
      <xdr:rowOff>0</xdr:rowOff>
    </xdr:to>
    <xdr:sp macro="" textlink="">
      <xdr:nvSpPr>
        <xdr:cNvPr id="1982" name="Option Button 1981">
          <a:extLst>
            <a:ext uri="{FF2B5EF4-FFF2-40B4-BE49-F238E27FC236}">
              <a16:creationId xmlns:a16="http://schemas.microsoft.com/office/drawing/2014/main" id="{00000000-0008-0000-3200-0000B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3" name="Option Button 1982">
          <a:extLst>
            <a:ext uri="{FF2B5EF4-FFF2-40B4-BE49-F238E27FC236}">
              <a16:creationId xmlns:a16="http://schemas.microsoft.com/office/drawing/2014/main" id="{00000000-0008-0000-3200-0000B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4" name="Option Button 1983">
          <a:extLst>
            <a:ext uri="{FF2B5EF4-FFF2-40B4-BE49-F238E27FC236}">
              <a16:creationId xmlns:a16="http://schemas.microsoft.com/office/drawing/2014/main" id="{00000000-0008-0000-3200-0000C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5" name="Option Button 1984">
          <a:extLst>
            <a:ext uri="{FF2B5EF4-FFF2-40B4-BE49-F238E27FC236}">
              <a16:creationId xmlns:a16="http://schemas.microsoft.com/office/drawing/2014/main" id="{00000000-0008-0000-3200-0000C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6" name="Group Box 1985" descr="Group Box 5">
          <a:extLst>
            <a:ext uri="{FF2B5EF4-FFF2-40B4-BE49-F238E27FC236}">
              <a16:creationId xmlns:a16="http://schemas.microsoft.com/office/drawing/2014/main" id="{00000000-0008-0000-3200-0000C2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417</xdr:row>
      <xdr:rowOff>28440</xdr:rowOff>
    </xdr:from>
    <xdr:to>
      <xdr:col>7</xdr:col>
      <xdr:colOff>-363960</xdr:colOff>
      <xdr:row>418</xdr:row>
      <xdr:rowOff>0</xdr:rowOff>
    </xdr:to>
    <xdr:sp macro="" textlink="">
      <xdr:nvSpPr>
        <xdr:cNvPr id="1987" name="Option Button 1986">
          <a:extLst>
            <a:ext uri="{FF2B5EF4-FFF2-40B4-BE49-F238E27FC236}">
              <a16:creationId xmlns:a16="http://schemas.microsoft.com/office/drawing/2014/main" id="{00000000-0008-0000-3200-0000C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8" name="Option Button 1987">
          <a:extLst>
            <a:ext uri="{FF2B5EF4-FFF2-40B4-BE49-F238E27FC236}">
              <a16:creationId xmlns:a16="http://schemas.microsoft.com/office/drawing/2014/main" id="{00000000-0008-0000-3200-0000C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9" name="Option Button 1988">
          <a:extLst>
            <a:ext uri="{FF2B5EF4-FFF2-40B4-BE49-F238E27FC236}">
              <a16:creationId xmlns:a16="http://schemas.microsoft.com/office/drawing/2014/main" id="{00000000-0008-0000-3200-0000C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0" name="Option Button 1989">
          <a:extLst>
            <a:ext uri="{FF2B5EF4-FFF2-40B4-BE49-F238E27FC236}">
              <a16:creationId xmlns:a16="http://schemas.microsoft.com/office/drawing/2014/main" id="{00000000-0008-0000-3200-0000C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1" name="Group Box 1990" descr="Group Box 5">
          <a:extLst>
            <a:ext uri="{FF2B5EF4-FFF2-40B4-BE49-F238E27FC236}">
              <a16:creationId xmlns:a16="http://schemas.microsoft.com/office/drawing/2014/main" id="{00000000-0008-0000-3200-0000C7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418</xdr:row>
      <xdr:rowOff>28440</xdr:rowOff>
    </xdr:from>
    <xdr:to>
      <xdr:col>7</xdr:col>
      <xdr:colOff>-363960</xdr:colOff>
      <xdr:row>419</xdr:row>
      <xdr:rowOff>0</xdr:rowOff>
    </xdr:to>
    <xdr:sp macro="" textlink="">
      <xdr:nvSpPr>
        <xdr:cNvPr id="1992" name="Option Button 1991">
          <a:extLst>
            <a:ext uri="{FF2B5EF4-FFF2-40B4-BE49-F238E27FC236}">
              <a16:creationId xmlns:a16="http://schemas.microsoft.com/office/drawing/2014/main" id="{00000000-0008-0000-3200-0000C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3" name="Option Button 1992">
          <a:extLst>
            <a:ext uri="{FF2B5EF4-FFF2-40B4-BE49-F238E27FC236}">
              <a16:creationId xmlns:a16="http://schemas.microsoft.com/office/drawing/2014/main" id="{00000000-0008-0000-3200-0000C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4" name="Option Button 1993">
          <a:extLst>
            <a:ext uri="{FF2B5EF4-FFF2-40B4-BE49-F238E27FC236}">
              <a16:creationId xmlns:a16="http://schemas.microsoft.com/office/drawing/2014/main" id="{00000000-0008-0000-3200-0000C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5" name="Option Button 1994">
          <a:extLst>
            <a:ext uri="{FF2B5EF4-FFF2-40B4-BE49-F238E27FC236}">
              <a16:creationId xmlns:a16="http://schemas.microsoft.com/office/drawing/2014/main" id="{00000000-0008-0000-3200-0000C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6" name="Group Box 1995" descr="Group Box 5">
          <a:extLst>
            <a:ext uri="{FF2B5EF4-FFF2-40B4-BE49-F238E27FC236}">
              <a16:creationId xmlns:a16="http://schemas.microsoft.com/office/drawing/2014/main" id="{00000000-0008-0000-3200-0000CC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419</xdr:row>
      <xdr:rowOff>28440</xdr:rowOff>
    </xdr:from>
    <xdr:to>
      <xdr:col>7</xdr:col>
      <xdr:colOff>-363960</xdr:colOff>
      <xdr:row>420</xdr:row>
      <xdr:rowOff>0</xdr:rowOff>
    </xdr:to>
    <xdr:sp macro="" textlink="">
      <xdr:nvSpPr>
        <xdr:cNvPr id="1997" name="Option Button 1996">
          <a:extLst>
            <a:ext uri="{FF2B5EF4-FFF2-40B4-BE49-F238E27FC236}">
              <a16:creationId xmlns:a16="http://schemas.microsoft.com/office/drawing/2014/main" id="{00000000-0008-0000-3200-0000C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8" name="Option Button 1997">
          <a:extLst>
            <a:ext uri="{FF2B5EF4-FFF2-40B4-BE49-F238E27FC236}">
              <a16:creationId xmlns:a16="http://schemas.microsoft.com/office/drawing/2014/main" id="{00000000-0008-0000-3200-0000C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9" name="Option Button 1998">
          <a:extLst>
            <a:ext uri="{FF2B5EF4-FFF2-40B4-BE49-F238E27FC236}">
              <a16:creationId xmlns:a16="http://schemas.microsoft.com/office/drawing/2014/main" id="{00000000-0008-0000-3200-0000C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0" name="Option Button 1999">
          <a:extLst>
            <a:ext uri="{FF2B5EF4-FFF2-40B4-BE49-F238E27FC236}">
              <a16:creationId xmlns:a16="http://schemas.microsoft.com/office/drawing/2014/main" id="{00000000-0008-0000-3200-0000D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1" name="Group Box 2000" descr="Group Box 5">
          <a:extLst>
            <a:ext uri="{FF2B5EF4-FFF2-40B4-BE49-F238E27FC236}">
              <a16:creationId xmlns:a16="http://schemas.microsoft.com/office/drawing/2014/main" id="{00000000-0008-0000-3200-0000D1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420</xdr:row>
      <xdr:rowOff>28440</xdr:rowOff>
    </xdr:from>
    <xdr:to>
      <xdr:col>7</xdr:col>
      <xdr:colOff>-363960</xdr:colOff>
      <xdr:row>421</xdr:row>
      <xdr:rowOff>0</xdr:rowOff>
    </xdr:to>
    <xdr:sp macro="" textlink="">
      <xdr:nvSpPr>
        <xdr:cNvPr id="2002" name="Option Button 2001">
          <a:extLst>
            <a:ext uri="{FF2B5EF4-FFF2-40B4-BE49-F238E27FC236}">
              <a16:creationId xmlns:a16="http://schemas.microsoft.com/office/drawing/2014/main" id="{00000000-0008-0000-3200-0000D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3" name="Option Button 2002">
          <a:extLst>
            <a:ext uri="{FF2B5EF4-FFF2-40B4-BE49-F238E27FC236}">
              <a16:creationId xmlns:a16="http://schemas.microsoft.com/office/drawing/2014/main" id="{00000000-0008-0000-3200-0000D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4" name="Option Button 2003">
          <a:extLst>
            <a:ext uri="{FF2B5EF4-FFF2-40B4-BE49-F238E27FC236}">
              <a16:creationId xmlns:a16="http://schemas.microsoft.com/office/drawing/2014/main" id="{00000000-0008-0000-3200-0000D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5" name="Option Button 2004">
          <a:extLst>
            <a:ext uri="{FF2B5EF4-FFF2-40B4-BE49-F238E27FC236}">
              <a16:creationId xmlns:a16="http://schemas.microsoft.com/office/drawing/2014/main" id="{00000000-0008-0000-3200-0000D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6" name="Group Box 2005" descr="Group Box 5">
          <a:extLst>
            <a:ext uri="{FF2B5EF4-FFF2-40B4-BE49-F238E27FC236}">
              <a16:creationId xmlns:a16="http://schemas.microsoft.com/office/drawing/2014/main" id="{00000000-0008-0000-3200-0000D6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421</xdr:row>
      <xdr:rowOff>28440</xdr:rowOff>
    </xdr:from>
    <xdr:to>
      <xdr:col>7</xdr:col>
      <xdr:colOff>-363960</xdr:colOff>
      <xdr:row>422</xdr:row>
      <xdr:rowOff>0</xdr:rowOff>
    </xdr:to>
    <xdr:sp macro="" textlink="">
      <xdr:nvSpPr>
        <xdr:cNvPr id="2007" name="Option Button 2006">
          <a:extLst>
            <a:ext uri="{FF2B5EF4-FFF2-40B4-BE49-F238E27FC236}">
              <a16:creationId xmlns:a16="http://schemas.microsoft.com/office/drawing/2014/main" id="{00000000-0008-0000-3200-0000D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8" name="Option Button 2007">
          <a:extLst>
            <a:ext uri="{FF2B5EF4-FFF2-40B4-BE49-F238E27FC236}">
              <a16:creationId xmlns:a16="http://schemas.microsoft.com/office/drawing/2014/main" id="{00000000-0008-0000-3200-0000D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9" name="Option Button 2008">
          <a:extLst>
            <a:ext uri="{FF2B5EF4-FFF2-40B4-BE49-F238E27FC236}">
              <a16:creationId xmlns:a16="http://schemas.microsoft.com/office/drawing/2014/main" id="{00000000-0008-0000-3200-0000D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0" name="Option Button 2009">
          <a:extLst>
            <a:ext uri="{FF2B5EF4-FFF2-40B4-BE49-F238E27FC236}">
              <a16:creationId xmlns:a16="http://schemas.microsoft.com/office/drawing/2014/main" id="{00000000-0008-0000-3200-0000D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1" name="Group Box 2010" descr="Group Box 5">
          <a:extLst>
            <a:ext uri="{FF2B5EF4-FFF2-40B4-BE49-F238E27FC236}">
              <a16:creationId xmlns:a16="http://schemas.microsoft.com/office/drawing/2014/main" id="{00000000-0008-0000-3200-0000DB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422</xdr:row>
      <xdr:rowOff>28440</xdr:rowOff>
    </xdr:from>
    <xdr:to>
      <xdr:col>7</xdr:col>
      <xdr:colOff>-363960</xdr:colOff>
      <xdr:row>423</xdr:row>
      <xdr:rowOff>0</xdr:rowOff>
    </xdr:to>
    <xdr:sp macro="" textlink="">
      <xdr:nvSpPr>
        <xdr:cNvPr id="2012" name="Option Button 2011">
          <a:extLst>
            <a:ext uri="{FF2B5EF4-FFF2-40B4-BE49-F238E27FC236}">
              <a16:creationId xmlns:a16="http://schemas.microsoft.com/office/drawing/2014/main" id="{00000000-0008-0000-3200-0000D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3" name="Option Button 2012">
          <a:extLst>
            <a:ext uri="{FF2B5EF4-FFF2-40B4-BE49-F238E27FC236}">
              <a16:creationId xmlns:a16="http://schemas.microsoft.com/office/drawing/2014/main" id="{00000000-0008-0000-3200-0000D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4" name="Option Button 2013">
          <a:extLst>
            <a:ext uri="{FF2B5EF4-FFF2-40B4-BE49-F238E27FC236}">
              <a16:creationId xmlns:a16="http://schemas.microsoft.com/office/drawing/2014/main" id="{00000000-0008-0000-3200-0000D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5" name="Option Button 2014">
          <a:extLst>
            <a:ext uri="{FF2B5EF4-FFF2-40B4-BE49-F238E27FC236}">
              <a16:creationId xmlns:a16="http://schemas.microsoft.com/office/drawing/2014/main" id="{00000000-0008-0000-3200-0000D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6" name="Group Box 2015" descr="Group Box 5">
          <a:extLst>
            <a:ext uri="{FF2B5EF4-FFF2-40B4-BE49-F238E27FC236}">
              <a16:creationId xmlns:a16="http://schemas.microsoft.com/office/drawing/2014/main" id="{00000000-0008-0000-3200-0000E0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423</xdr:row>
      <xdr:rowOff>28440</xdr:rowOff>
    </xdr:from>
    <xdr:to>
      <xdr:col>7</xdr:col>
      <xdr:colOff>-363960</xdr:colOff>
      <xdr:row>424</xdr:row>
      <xdr:rowOff>0</xdr:rowOff>
    </xdr:to>
    <xdr:sp macro="" textlink="">
      <xdr:nvSpPr>
        <xdr:cNvPr id="2017" name="Option Button 2016">
          <a:extLst>
            <a:ext uri="{FF2B5EF4-FFF2-40B4-BE49-F238E27FC236}">
              <a16:creationId xmlns:a16="http://schemas.microsoft.com/office/drawing/2014/main" id="{00000000-0008-0000-3200-0000E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8" name="Option Button 2017">
          <a:extLst>
            <a:ext uri="{FF2B5EF4-FFF2-40B4-BE49-F238E27FC236}">
              <a16:creationId xmlns:a16="http://schemas.microsoft.com/office/drawing/2014/main" id="{00000000-0008-0000-3200-0000E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9" name="Option Button 2018">
          <a:extLst>
            <a:ext uri="{FF2B5EF4-FFF2-40B4-BE49-F238E27FC236}">
              <a16:creationId xmlns:a16="http://schemas.microsoft.com/office/drawing/2014/main" id="{00000000-0008-0000-3200-0000E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0" name="Option Button 2019">
          <a:extLst>
            <a:ext uri="{FF2B5EF4-FFF2-40B4-BE49-F238E27FC236}">
              <a16:creationId xmlns:a16="http://schemas.microsoft.com/office/drawing/2014/main" id="{00000000-0008-0000-3200-0000E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1" name="Group Box 2020" descr="Group Box 5">
          <a:extLst>
            <a:ext uri="{FF2B5EF4-FFF2-40B4-BE49-F238E27FC236}">
              <a16:creationId xmlns:a16="http://schemas.microsoft.com/office/drawing/2014/main" id="{00000000-0008-0000-3200-0000E5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424</xdr:row>
      <xdr:rowOff>28440</xdr:rowOff>
    </xdr:from>
    <xdr:to>
      <xdr:col>7</xdr:col>
      <xdr:colOff>-363960</xdr:colOff>
      <xdr:row>425</xdr:row>
      <xdr:rowOff>0</xdr:rowOff>
    </xdr:to>
    <xdr:sp macro="" textlink="">
      <xdr:nvSpPr>
        <xdr:cNvPr id="2022" name="Option Button 2021">
          <a:extLst>
            <a:ext uri="{FF2B5EF4-FFF2-40B4-BE49-F238E27FC236}">
              <a16:creationId xmlns:a16="http://schemas.microsoft.com/office/drawing/2014/main" id="{00000000-0008-0000-3200-0000E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3" name="Option Button 2022">
          <a:extLst>
            <a:ext uri="{FF2B5EF4-FFF2-40B4-BE49-F238E27FC236}">
              <a16:creationId xmlns:a16="http://schemas.microsoft.com/office/drawing/2014/main" id="{00000000-0008-0000-3200-0000E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4" name="Option Button 2023">
          <a:extLst>
            <a:ext uri="{FF2B5EF4-FFF2-40B4-BE49-F238E27FC236}">
              <a16:creationId xmlns:a16="http://schemas.microsoft.com/office/drawing/2014/main" id="{00000000-0008-0000-3200-0000E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5" name="Option Button 2024">
          <a:extLst>
            <a:ext uri="{FF2B5EF4-FFF2-40B4-BE49-F238E27FC236}">
              <a16:creationId xmlns:a16="http://schemas.microsoft.com/office/drawing/2014/main" id="{00000000-0008-0000-3200-0000E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6" name="Group Box 2025" descr="Group Box 5">
          <a:extLst>
            <a:ext uri="{FF2B5EF4-FFF2-40B4-BE49-F238E27FC236}">
              <a16:creationId xmlns:a16="http://schemas.microsoft.com/office/drawing/2014/main" id="{00000000-0008-0000-3200-0000EA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425</xdr:row>
      <xdr:rowOff>28440</xdr:rowOff>
    </xdr:from>
    <xdr:to>
      <xdr:col>7</xdr:col>
      <xdr:colOff>-363960</xdr:colOff>
      <xdr:row>426</xdr:row>
      <xdr:rowOff>0</xdr:rowOff>
    </xdr:to>
    <xdr:sp macro="" textlink="">
      <xdr:nvSpPr>
        <xdr:cNvPr id="2027" name="Option Button 2026">
          <a:extLst>
            <a:ext uri="{FF2B5EF4-FFF2-40B4-BE49-F238E27FC236}">
              <a16:creationId xmlns:a16="http://schemas.microsoft.com/office/drawing/2014/main" id="{00000000-0008-0000-3200-0000E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8" name="Option Button 2027">
          <a:extLst>
            <a:ext uri="{FF2B5EF4-FFF2-40B4-BE49-F238E27FC236}">
              <a16:creationId xmlns:a16="http://schemas.microsoft.com/office/drawing/2014/main" id="{00000000-0008-0000-3200-0000E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9" name="Option Button 2028">
          <a:extLst>
            <a:ext uri="{FF2B5EF4-FFF2-40B4-BE49-F238E27FC236}">
              <a16:creationId xmlns:a16="http://schemas.microsoft.com/office/drawing/2014/main" id="{00000000-0008-0000-3200-0000E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0" name="Option Button 2029">
          <a:extLst>
            <a:ext uri="{FF2B5EF4-FFF2-40B4-BE49-F238E27FC236}">
              <a16:creationId xmlns:a16="http://schemas.microsoft.com/office/drawing/2014/main" id="{00000000-0008-0000-3200-0000E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1" name="Group Box 2030" descr="Group Box 5">
          <a:extLst>
            <a:ext uri="{FF2B5EF4-FFF2-40B4-BE49-F238E27FC236}">
              <a16:creationId xmlns:a16="http://schemas.microsoft.com/office/drawing/2014/main" id="{00000000-0008-0000-3200-0000EF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426</xdr:row>
      <xdr:rowOff>28440</xdr:rowOff>
    </xdr:from>
    <xdr:to>
      <xdr:col>7</xdr:col>
      <xdr:colOff>-363960</xdr:colOff>
      <xdr:row>427</xdr:row>
      <xdr:rowOff>0</xdr:rowOff>
    </xdr:to>
    <xdr:sp macro="" textlink="">
      <xdr:nvSpPr>
        <xdr:cNvPr id="2032" name="Option Button 2031">
          <a:extLst>
            <a:ext uri="{FF2B5EF4-FFF2-40B4-BE49-F238E27FC236}">
              <a16:creationId xmlns:a16="http://schemas.microsoft.com/office/drawing/2014/main" id="{00000000-0008-0000-3200-0000F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3" name="Option Button 2032">
          <a:extLst>
            <a:ext uri="{FF2B5EF4-FFF2-40B4-BE49-F238E27FC236}">
              <a16:creationId xmlns:a16="http://schemas.microsoft.com/office/drawing/2014/main" id="{00000000-0008-0000-3200-0000F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4" name="Option Button 2033">
          <a:extLst>
            <a:ext uri="{FF2B5EF4-FFF2-40B4-BE49-F238E27FC236}">
              <a16:creationId xmlns:a16="http://schemas.microsoft.com/office/drawing/2014/main" id="{00000000-0008-0000-3200-0000F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5" name="Option Button 2034">
          <a:extLst>
            <a:ext uri="{FF2B5EF4-FFF2-40B4-BE49-F238E27FC236}">
              <a16:creationId xmlns:a16="http://schemas.microsoft.com/office/drawing/2014/main" id="{00000000-0008-0000-3200-0000F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6" name="Group Box 2035" descr="Group Box 5">
          <a:extLst>
            <a:ext uri="{FF2B5EF4-FFF2-40B4-BE49-F238E27FC236}">
              <a16:creationId xmlns:a16="http://schemas.microsoft.com/office/drawing/2014/main" id="{00000000-0008-0000-3200-0000F4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427</xdr:row>
      <xdr:rowOff>28440</xdr:rowOff>
    </xdr:from>
    <xdr:to>
      <xdr:col>7</xdr:col>
      <xdr:colOff>-363960</xdr:colOff>
      <xdr:row>428</xdr:row>
      <xdr:rowOff>0</xdr:rowOff>
    </xdr:to>
    <xdr:sp macro="" textlink="">
      <xdr:nvSpPr>
        <xdr:cNvPr id="2037" name="Option Button 2036">
          <a:extLst>
            <a:ext uri="{FF2B5EF4-FFF2-40B4-BE49-F238E27FC236}">
              <a16:creationId xmlns:a16="http://schemas.microsoft.com/office/drawing/2014/main" id="{00000000-0008-0000-3200-0000F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8" name="Option Button 2037">
          <a:extLst>
            <a:ext uri="{FF2B5EF4-FFF2-40B4-BE49-F238E27FC236}">
              <a16:creationId xmlns:a16="http://schemas.microsoft.com/office/drawing/2014/main" id="{00000000-0008-0000-3200-0000F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9" name="Option Button 2038">
          <a:extLst>
            <a:ext uri="{FF2B5EF4-FFF2-40B4-BE49-F238E27FC236}">
              <a16:creationId xmlns:a16="http://schemas.microsoft.com/office/drawing/2014/main" id="{00000000-0008-0000-3200-0000F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0" name="Option Button 2039">
          <a:extLst>
            <a:ext uri="{FF2B5EF4-FFF2-40B4-BE49-F238E27FC236}">
              <a16:creationId xmlns:a16="http://schemas.microsoft.com/office/drawing/2014/main" id="{00000000-0008-0000-3200-0000F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1" name="Group Box 2040" descr="Group Box 5">
          <a:extLst>
            <a:ext uri="{FF2B5EF4-FFF2-40B4-BE49-F238E27FC236}">
              <a16:creationId xmlns:a16="http://schemas.microsoft.com/office/drawing/2014/main" id="{00000000-0008-0000-3200-0000F9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428</xdr:row>
      <xdr:rowOff>28440</xdr:rowOff>
    </xdr:from>
    <xdr:to>
      <xdr:col>7</xdr:col>
      <xdr:colOff>-363960</xdr:colOff>
      <xdr:row>429</xdr:row>
      <xdr:rowOff>0</xdr:rowOff>
    </xdr:to>
    <xdr:sp macro="" textlink="">
      <xdr:nvSpPr>
        <xdr:cNvPr id="2042" name="Option Button 2041">
          <a:extLst>
            <a:ext uri="{FF2B5EF4-FFF2-40B4-BE49-F238E27FC236}">
              <a16:creationId xmlns:a16="http://schemas.microsoft.com/office/drawing/2014/main" id="{00000000-0008-0000-3200-0000F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3" name="Option Button 2042">
          <a:extLst>
            <a:ext uri="{FF2B5EF4-FFF2-40B4-BE49-F238E27FC236}">
              <a16:creationId xmlns:a16="http://schemas.microsoft.com/office/drawing/2014/main" id="{00000000-0008-0000-3200-0000F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4" name="Option Button 2043">
          <a:extLst>
            <a:ext uri="{FF2B5EF4-FFF2-40B4-BE49-F238E27FC236}">
              <a16:creationId xmlns:a16="http://schemas.microsoft.com/office/drawing/2014/main" id="{00000000-0008-0000-3200-0000F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5" name="Option Button 2044">
          <a:extLst>
            <a:ext uri="{FF2B5EF4-FFF2-40B4-BE49-F238E27FC236}">
              <a16:creationId xmlns:a16="http://schemas.microsoft.com/office/drawing/2014/main" id="{00000000-0008-0000-3200-0000F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6" name="Group Box 2045" descr="Group Box 5">
          <a:extLst>
            <a:ext uri="{FF2B5EF4-FFF2-40B4-BE49-F238E27FC236}">
              <a16:creationId xmlns:a16="http://schemas.microsoft.com/office/drawing/2014/main" id="{00000000-0008-0000-3200-0000FE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429</xdr:row>
      <xdr:rowOff>28440</xdr:rowOff>
    </xdr:from>
    <xdr:to>
      <xdr:col>7</xdr:col>
      <xdr:colOff>-363960</xdr:colOff>
      <xdr:row>430</xdr:row>
      <xdr:rowOff>0</xdr:rowOff>
    </xdr:to>
    <xdr:sp macro="" textlink="">
      <xdr:nvSpPr>
        <xdr:cNvPr id="2047" name="Option Button 2046">
          <a:extLst>
            <a:ext uri="{FF2B5EF4-FFF2-40B4-BE49-F238E27FC236}">
              <a16:creationId xmlns:a16="http://schemas.microsoft.com/office/drawing/2014/main" id="{00000000-0008-0000-3200-0000F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8" name="Option Button 2047">
          <a:extLst>
            <a:ext uri="{FF2B5EF4-FFF2-40B4-BE49-F238E27FC236}">
              <a16:creationId xmlns:a16="http://schemas.microsoft.com/office/drawing/2014/main" id="{00000000-0008-0000-3200-00000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9" name="Option Button 2048">
          <a:extLst>
            <a:ext uri="{FF2B5EF4-FFF2-40B4-BE49-F238E27FC236}">
              <a16:creationId xmlns:a16="http://schemas.microsoft.com/office/drawing/2014/main" id="{00000000-0008-0000-3200-00000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0" name="Option Button 2049">
          <a:extLst>
            <a:ext uri="{FF2B5EF4-FFF2-40B4-BE49-F238E27FC236}">
              <a16:creationId xmlns:a16="http://schemas.microsoft.com/office/drawing/2014/main" id="{00000000-0008-0000-3200-00000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1" name="Group Box 2050" descr="Group Box 5">
          <a:extLst>
            <a:ext uri="{FF2B5EF4-FFF2-40B4-BE49-F238E27FC236}">
              <a16:creationId xmlns:a16="http://schemas.microsoft.com/office/drawing/2014/main" id="{00000000-0008-0000-3200-000003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430</xdr:row>
      <xdr:rowOff>28440</xdr:rowOff>
    </xdr:from>
    <xdr:to>
      <xdr:col>7</xdr:col>
      <xdr:colOff>-363960</xdr:colOff>
      <xdr:row>431</xdr:row>
      <xdr:rowOff>0</xdr:rowOff>
    </xdr:to>
    <xdr:sp macro="" textlink="">
      <xdr:nvSpPr>
        <xdr:cNvPr id="2052" name="Option Button 2051">
          <a:extLst>
            <a:ext uri="{FF2B5EF4-FFF2-40B4-BE49-F238E27FC236}">
              <a16:creationId xmlns:a16="http://schemas.microsoft.com/office/drawing/2014/main" id="{00000000-0008-0000-3200-00000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3" name="Option Button 2052">
          <a:extLst>
            <a:ext uri="{FF2B5EF4-FFF2-40B4-BE49-F238E27FC236}">
              <a16:creationId xmlns:a16="http://schemas.microsoft.com/office/drawing/2014/main" id="{00000000-0008-0000-3200-00000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4" name="Option Button 2053">
          <a:extLst>
            <a:ext uri="{FF2B5EF4-FFF2-40B4-BE49-F238E27FC236}">
              <a16:creationId xmlns:a16="http://schemas.microsoft.com/office/drawing/2014/main" id="{00000000-0008-0000-3200-00000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5" name="Option Button 2054">
          <a:extLst>
            <a:ext uri="{FF2B5EF4-FFF2-40B4-BE49-F238E27FC236}">
              <a16:creationId xmlns:a16="http://schemas.microsoft.com/office/drawing/2014/main" id="{00000000-0008-0000-3200-00000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6" name="Group Box 2055" descr="Group Box 5">
          <a:extLst>
            <a:ext uri="{FF2B5EF4-FFF2-40B4-BE49-F238E27FC236}">
              <a16:creationId xmlns:a16="http://schemas.microsoft.com/office/drawing/2014/main" id="{00000000-0008-0000-3200-000008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431</xdr:row>
      <xdr:rowOff>28440</xdr:rowOff>
    </xdr:from>
    <xdr:to>
      <xdr:col>7</xdr:col>
      <xdr:colOff>-363960</xdr:colOff>
      <xdr:row>432</xdr:row>
      <xdr:rowOff>0</xdr:rowOff>
    </xdr:to>
    <xdr:sp macro="" textlink="">
      <xdr:nvSpPr>
        <xdr:cNvPr id="2057" name="Option Button 2056">
          <a:extLst>
            <a:ext uri="{FF2B5EF4-FFF2-40B4-BE49-F238E27FC236}">
              <a16:creationId xmlns:a16="http://schemas.microsoft.com/office/drawing/2014/main" id="{00000000-0008-0000-3200-00000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8" name="Option Button 2057">
          <a:extLst>
            <a:ext uri="{FF2B5EF4-FFF2-40B4-BE49-F238E27FC236}">
              <a16:creationId xmlns:a16="http://schemas.microsoft.com/office/drawing/2014/main" id="{00000000-0008-0000-3200-00000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9" name="Option Button 2058">
          <a:extLst>
            <a:ext uri="{FF2B5EF4-FFF2-40B4-BE49-F238E27FC236}">
              <a16:creationId xmlns:a16="http://schemas.microsoft.com/office/drawing/2014/main" id="{00000000-0008-0000-3200-00000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0" name="Option Button 2059">
          <a:extLst>
            <a:ext uri="{FF2B5EF4-FFF2-40B4-BE49-F238E27FC236}">
              <a16:creationId xmlns:a16="http://schemas.microsoft.com/office/drawing/2014/main" id="{00000000-0008-0000-3200-00000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1" name="Group Box 2060" descr="Group Box 5">
          <a:extLst>
            <a:ext uri="{FF2B5EF4-FFF2-40B4-BE49-F238E27FC236}">
              <a16:creationId xmlns:a16="http://schemas.microsoft.com/office/drawing/2014/main" id="{00000000-0008-0000-3200-00000D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432</xdr:row>
      <xdr:rowOff>28440</xdr:rowOff>
    </xdr:from>
    <xdr:to>
      <xdr:col>7</xdr:col>
      <xdr:colOff>-363960</xdr:colOff>
      <xdr:row>433</xdr:row>
      <xdr:rowOff>0</xdr:rowOff>
    </xdr:to>
    <xdr:sp macro="" textlink="">
      <xdr:nvSpPr>
        <xdr:cNvPr id="2062" name="Option Button 2061">
          <a:extLst>
            <a:ext uri="{FF2B5EF4-FFF2-40B4-BE49-F238E27FC236}">
              <a16:creationId xmlns:a16="http://schemas.microsoft.com/office/drawing/2014/main" id="{00000000-0008-0000-3200-00000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3" name="Option Button 2062">
          <a:extLst>
            <a:ext uri="{FF2B5EF4-FFF2-40B4-BE49-F238E27FC236}">
              <a16:creationId xmlns:a16="http://schemas.microsoft.com/office/drawing/2014/main" id="{00000000-0008-0000-3200-00000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4" name="Option Button 2063">
          <a:extLst>
            <a:ext uri="{FF2B5EF4-FFF2-40B4-BE49-F238E27FC236}">
              <a16:creationId xmlns:a16="http://schemas.microsoft.com/office/drawing/2014/main" id="{00000000-0008-0000-3200-00001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5" name="Option Button 2064">
          <a:extLst>
            <a:ext uri="{FF2B5EF4-FFF2-40B4-BE49-F238E27FC236}">
              <a16:creationId xmlns:a16="http://schemas.microsoft.com/office/drawing/2014/main" id="{00000000-0008-0000-3200-00001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6" name="Group Box 2065" descr="Group Box 5">
          <a:extLst>
            <a:ext uri="{FF2B5EF4-FFF2-40B4-BE49-F238E27FC236}">
              <a16:creationId xmlns:a16="http://schemas.microsoft.com/office/drawing/2014/main" id="{00000000-0008-0000-3200-000012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433</xdr:row>
      <xdr:rowOff>28440</xdr:rowOff>
    </xdr:from>
    <xdr:to>
      <xdr:col>7</xdr:col>
      <xdr:colOff>-363960</xdr:colOff>
      <xdr:row>434</xdr:row>
      <xdr:rowOff>0</xdr:rowOff>
    </xdr:to>
    <xdr:sp macro="" textlink="">
      <xdr:nvSpPr>
        <xdr:cNvPr id="2067" name="Option Button 2066">
          <a:extLst>
            <a:ext uri="{FF2B5EF4-FFF2-40B4-BE49-F238E27FC236}">
              <a16:creationId xmlns:a16="http://schemas.microsoft.com/office/drawing/2014/main" id="{00000000-0008-0000-3200-00001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8" name="Option Button 2067">
          <a:extLst>
            <a:ext uri="{FF2B5EF4-FFF2-40B4-BE49-F238E27FC236}">
              <a16:creationId xmlns:a16="http://schemas.microsoft.com/office/drawing/2014/main" id="{00000000-0008-0000-3200-00001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9" name="Option Button 2068">
          <a:extLst>
            <a:ext uri="{FF2B5EF4-FFF2-40B4-BE49-F238E27FC236}">
              <a16:creationId xmlns:a16="http://schemas.microsoft.com/office/drawing/2014/main" id="{00000000-0008-0000-3200-00001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0" name="Option Button 2069">
          <a:extLst>
            <a:ext uri="{FF2B5EF4-FFF2-40B4-BE49-F238E27FC236}">
              <a16:creationId xmlns:a16="http://schemas.microsoft.com/office/drawing/2014/main" id="{00000000-0008-0000-3200-00001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1" name="Group Box 2070" descr="Group Box 5">
          <a:extLst>
            <a:ext uri="{FF2B5EF4-FFF2-40B4-BE49-F238E27FC236}">
              <a16:creationId xmlns:a16="http://schemas.microsoft.com/office/drawing/2014/main" id="{00000000-0008-0000-3200-000017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434</xdr:row>
      <xdr:rowOff>28440</xdr:rowOff>
    </xdr:from>
    <xdr:to>
      <xdr:col>7</xdr:col>
      <xdr:colOff>-363960</xdr:colOff>
      <xdr:row>435</xdr:row>
      <xdr:rowOff>0</xdr:rowOff>
    </xdr:to>
    <xdr:sp macro="" textlink="">
      <xdr:nvSpPr>
        <xdr:cNvPr id="2072" name="Option Button 2071">
          <a:extLst>
            <a:ext uri="{FF2B5EF4-FFF2-40B4-BE49-F238E27FC236}">
              <a16:creationId xmlns:a16="http://schemas.microsoft.com/office/drawing/2014/main" id="{00000000-0008-0000-3200-00001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3" name="Option Button 2072">
          <a:extLst>
            <a:ext uri="{FF2B5EF4-FFF2-40B4-BE49-F238E27FC236}">
              <a16:creationId xmlns:a16="http://schemas.microsoft.com/office/drawing/2014/main" id="{00000000-0008-0000-3200-00001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4" name="Option Button 2073">
          <a:extLst>
            <a:ext uri="{FF2B5EF4-FFF2-40B4-BE49-F238E27FC236}">
              <a16:creationId xmlns:a16="http://schemas.microsoft.com/office/drawing/2014/main" id="{00000000-0008-0000-3200-00001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5" name="Option Button 2074">
          <a:extLst>
            <a:ext uri="{FF2B5EF4-FFF2-40B4-BE49-F238E27FC236}">
              <a16:creationId xmlns:a16="http://schemas.microsoft.com/office/drawing/2014/main" id="{00000000-0008-0000-3200-00001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6" name="Group Box 2075" descr="Group Box 5">
          <a:extLst>
            <a:ext uri="{FF2B5EF4-FFF2-40B4-BE49-F238E27FC236}">
              <a16:creationId xmlns:a16="http://schemas.microsoft.com/office/drawing/2014/main" id="{00000000-0008-0000-3200-00001C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435</xdr:row>
      <xdr:rowOff>28440</xdr:rowOff>
    </xdr:from>
    <xdr:to>
      <xdr:col>7</xdr:col>
      <xdr:colOff>-363960</xdr:colOff>
      <xdr:row>436</xdr:row>
      <xdr:rowOff>0</xdr:rowOff>
    </xdr:to>
    <xdr:sp macro="" textlink="">
      <xdr:nvSpPr>
        <xdr:cNvPr id="2077" name="Option Button 2076">
          <a:extLst>
            <a:ext uri="{FF2B5EF4-FFF2-40B4-BE49-F238E27FC236}">
              <a16:creationId xmlns:a16="http://schemas.microsoft.com/office/drawing/2014/main" id="{00000000-0008-0000-3200-00001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8" name="Option Button 2077">
          <a:extLst>
            <a:ext uri="{FF2B5EF4-FFF2-40B4-BE49-F238E27FC236}">
              <a16:creationId xmlns:a16="http://schemas.microsoft.com/office/drawing/2014/main" id="{00000000-0008-0000-3200-00001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9" name="Option Button 2078">
          <a:extLst>
            <a:ext uri="{FF2B5EF4-FFF2-40B4-BE49-F238E27FC236}">
              <a16:creationId xmlns:a16="http://schemas.microsoft.com/office/drawing/2014/main" id="{00000000-0008-0000-3200-00001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0" name="Option Button 2079">
          <a:extLst>
            <a:ext uri="{FF2B5EF4-FFF2-40B4-BE49-F238E27FC236}">
              <a16:creationId xmlns:a16="http://schemas.microsoft.com/office/drawing/2014/main" id="{00000000-0008-0000-3200-00002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1" name="Group Box 2080" descr="Group Box 5">
          <a:extLst>
            <a:ext uri="{FF2B5EF4-FFF2-40B4-BE49-F238E27FC236}">
              <a16:creationId xmlns:a16="http://schemas.microsoft.com/office/drawing/2014/main" id="{00000000-0008-0000-3200-000021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436</xdr:row>
      <xdr:rowOff>28440</xdr:rowOff>
    </xdr:from>
    <xdr:to>
      <xdr:col>7</xdr:col>
      <xdr:colOff>-363960</xdr:colOff>
      <xdr:row>437</xdr:row>
      <xdr:rowOff>0</xdr:rowOff>
    </xdr:to>
    <xdr:sp macro="" textlink="">
      <xdr:nvSpPr>
        <xdr:cNvPr id="2082" name="Option Button 2081">
          <a:extLst>
            <a:ext uri="{FF2B5EF4-FFF2-40B4-BE49-F238E27FC236}">
              <a16:creationId xmlns:a16="http://schemas.microsoft.com/office/drawing/2014/main" id="{00000000-0008-0000-3200-00002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3" name="Option Button 2082">
          <a:extLst>
            <a:ext uri="{FF2B5EF4-FFF2-40B4-BE49-F238E27FC236}">
              <a16:creationId xmlns:a16="http://schemas.microsoft.com/office/drawing/2014/main" id="{00000000-0008-0000-3200-00002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4" name="Option Button 2083">
          <a:extLst>
            <a:ext uri="{FF2B5EF4-FFF2-40B4-BE49-F238E27FC236}">
              <a16:creationId xmlns:a16="http://schemas.microsoft.com/office/drawing/2014/main" id="{00000000-0008-0000-3200-00002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5" name="Option Button 2084">
          <a:extLst>
            <a:ext uri="{FF2B5EF4-FFF2-40B4-BE49-F238E27FC236}">
              <a16:creationId xmlns:a16="http://schemas.microsoft.com/office/drawing/2014/main" id="{00000000-0008-0000-3200-00002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6" name="Group Box 2085" descr="Group Box 5">
          <a:extLst>
            <a:ext uri="{FF2B5EF4-FFF2-40B4-BE49-F238E27FC236}">
              <a16:creationId xmlns:a16="http://schemas.microsoft.com/office/drawing/2014/main" id="{00000000-0008-0000-3200-000026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437</xdr:row>
      <xdr:rowOff>28440</xdr:rowOff>
    </xdr:from>
    <xdr:to>
      <xdr:col>7</xdr:col>
      <xdr:colOff>-363960</xdr:colOff>
      <xdr:row>438</xdr:row>
      <xdr:rowOff>0</xdr:rowOff>
    </xdr:to>
    <xdr:sp macro="" textlink="">
      <xdr:nvSpPr>
        <xdr:cNvPr id="2087" name="Option Button 2086">
          <a:extLst>
            <a:ext uri="{FF2B5EF4-FFF2-40B4-BE49-F238E27FC236}">
              <a16:creationId xmlns:a16="http://schemas.microsoft.com/office/drawing/2014/main" id="{00000000-0008-0000-3200-00002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8" name="Option Button 2087">
          <a:extLst>
            <a:ext uri="{FF2B5EF4-FFF2-40B4-BE49-F238E27FC236}">
              <a16:creationId xmlns:a16="http://schemas.microsoft.com/office/drawing/2014/main" id="{00000000-0008-0000-3200-00002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9" name="Option Button 2088">
          <a:extLst>
            <a:ext uri="{FF2B5EF4-FFF2-40B4-BE49-F238E27FC236}">
              <a16:creationId xmlns:a16="http://schemas.microsoft.com/office/drawing/2014/main" id="{00000000-0008-0000-3200-00002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0" name="Option Button 2089">
          <a:extLst>
            <a:ext uri="{FF2B5EF4-FFF2-40B4-BE49-F238E27FC236}">
              <a16:creationId xmlns:a16="http://schemas.microsoft.com/office/drawing/2014/main" id="{00000000-0008-0000-3200-00002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1" name="Group Box 2090" descr="Group Box 5">
          <a:extLst>
            <a:ext uri="{FF2B5EF4-FFF2-40B4-BE49-F238E27FC236}">
              <a16:creationId xmlns:a16="http://schemas.microsoft.com/office/drawing/2014/main" id="{00000000-0008-0000-3200-00002B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438</xdr:row>
      <xdr:rowOff>28440</xdr:rowOff>
    </xdr:from>
    <xdr:to>
      <xdr:col>7</xdr:col>
      <xdr:colOff>-363960</xdr:colOff>
      <xdr:row>439</xdr:row>
      <xdr:rowOff>0</xdr:rowOff>
    </xdr:to>
    <xdr:sp macro="" textlink="">
      <xdr:nvSpPr>
        <xdr:cNvPr id="2092" name="Option Button 2091">
          <a:extLst>
            <a:ext uri="{FF2B5EF4-FFF2-40B4-BE49-F238E27FC236}">
              <a16:creationId xmlns:a16="http://schemas.microsoft.com/office/drawing/2014/main" id="{00000000-0008-0000-3200-00002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3" name="Option Button 2092">
          <a:extLst>
            <a:ext uri="{FF2B5EF4-FFF2-40B4-BE49-F238E27FC236}">
              <a16:creationId xmlns:a16="http://schemas.microsoft.com/office/drawing/2014/main" id="{00000000-0008-0000-3200-00002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4" name="Option Button 2093">
          <a:extLst>
            <a:ext uri="{FF2B5EF4-FFF2-40B4-BE49-F238E27FC236}">
              <a16:creationId xmlns:a16="http://schemas.microsoft.com/office/drawing/2014/main" id="{00000000-0008-0000-3200-00002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5" name="Option Button 2094">
          <a:extLst>
            <a:ext uri="{FF2B5EF4-FFF2-40B4-BE49-F238E27FC236}">
              <a16:creationId xmlns:a16="http://schemas.microsoft.com/office/drawing/2014/main" id="{00000000-0008-0000-3200-00002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6" name="Group Box 2095" descr="Group Box 5">
          <a:extLst>
            <a:ext uri="{FF2B5EF4-FFF2-40B4-BE49-F238E27FC236}">
              <a16:creationId xmlns:a16="http://schemas.microsoft.com/office/drawing/2014/main" id="{00000000-0008-0000-3200-000030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439</xdr:row>
      <xdr:rowOff>28440</xdr:rowOff>
    </xdr:from>
    <xdr:to>
      <xdr:col>7</xdr:col>
      <xdr:colOff>-363960</xdr:colOff>
      <xdr:row>440</xdr:row>
      <xdr:rowOff>0</xdr:rowOff>
    </xdr:to>
    <xdr:sp macro="" textlink="">
      <xdr:nvSpPr>
        <xdr:cNvPr id="2097" name="Option Button 2096">
          <a:extLst>
            <a:ext uri="{FF2B5EF4-FFF2-40B4-BE49-F238E27FC236}">
              <a16:creationId xmlns:a16="http://schemas.microsoft.com/office/drawing/2014/main" id="{00000000-0008-0000-3200-00003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8" name="Option Button 2097">
          <a:extLst>
            <a:ext uri="{FF2B5EF4-FFF2-40B4-BE49-F238E27FC236}">
              <a16:creationId xmlns:a16="http://schemas.microsoft.com/office/drawing/2014/main" id="{00000000-0008-0000-3200-00003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9" name="Option Button 2098">
          <a:extLst>
            <a:ext uri="{FF2B5EF4-FFF2-40B4-BE49-F238E27FC236}">
              <a16:creationId xmlns:a16="http://schemas.microsoft.com/office/drawing/2014/main" id="{00000000-0008-0000-3200-00003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0" name="Option Button 2099">
          <a:extLst>
            <a:ext uri="{FF2B5EF4-FFF2-40B4-BE49-F238E27FC236}">
              <a16:creationId xmlns:a16="http://schemas.microsoft.com/office/drawing/2014/main" id="{00000000-0008-0000-3200-00003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1" name="Group Box 2100" descr="Group Box 5">
          <a:extLst>
            <a:ext uri="{FF2B5EF4-FFF2-40B4-BE49-F238E27FC236}">
              <a16:creationId xmlns:a16="http://schemas.microsoft.com/office/drawing/2014/main" id="{00000000-0008-0000-3200-000035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440</xdr:row>
      <xdr:rowOff>28440</xdr:rowOff>
    </xdr:from>
    <xdr:to>
      <xdr:col>7</xdr:col>
      <xdr:colOff>-363960</xdr:colOff>
      <xdr:row>441</xdr:row>
      <xdr:rowOff>0</xdr:rowOff>
    </xdr:to>
    <xdr:sp macro="" textlink="">
      <xdr:nvSpPr>
        <xdr:cNvPr id="2102" name="Option Button 2101">
          <a:extLst>
            <a:ext uri="{FF2B5EF4-FFF2-40B4-BE49-F238E27FC236}">
              <a16:creationId xmlns:a16="http://schemas.microsoft.com/office/drawing/2014/main" id="{00000000-0008-0000-3200-00003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3" name="Option Button 2102">
          <a:extLst>
            <a:ext uri="{FF2B5EF4-FFF2-40B4-BE49-F238E27FC236}">
              <a16:creationId xmlns:a16="http://schemas.microsoft.com/office/drawing/2014/main" id="{00000000-0008-0000-3200-00003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4" name="Option Button 2103">
          <a:extLst>
            <a:ext uri="{FF2B5EF4-FFF2-40B4-BE49-F238E27FC236}">
              <a16:creationId xmlns:a16="http://schemas.microsoft.com/office/drawing/2014/main" id="{00000000-0008-0000-3200-00003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5" name="Option Button 2104">
          <a:extLst>
            <a:ext uri="{FF2B5EF4-FFF2-40B4-BE49-F238E27FC236}">
              <a16:creationId xmlns:a16="http://schemas.microsoft.com/office/drawing/2014/main" id="{00000000-0008-0000-3200-00003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6" name="Group Box 2105" descr="Group Box 5">
          <a:extLst>
            <a:ext uri="{FF2B5EF4-FFF2-40B4-BE49-F238E27FC236}">
              <a16:creationId xmlns:a16="http://schemas.microsoft.com/office/drawing/2014/main" id="{00000000-0008-0000-3200-00003A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441</xdr:row>
      <xdr:rowOff>28440</xdr:rowOff>
    </xdr:from>
    <xdr:to>
      <xdr:col>7</xdr:col>
      <xdr:colOff>-363960</xdr:colOff>
      <xdr:row>442</xdr:row>
      <xdr:rowOff>0</xdr:rowOff>
    </xdr:to>
    <xdr:sp macro="" textlink="">
      <xdr:nvSpPr>
        <xdr:cNvPr id="2107" name="Option Button 2106">
          <a:extLst>
            <a:ext uri="{FF2B5EF4-FFF2-40B4-BE49-F238E27FC236}">
              <a16:creationId xmlns:a16="http://schemas.microsoft.com/office/drawing/2014/main" id="{00000000-0008-0000-3200-00003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8" name="Option Button 2107">
          <a:extLst>
            <a:ext uri="{FF2B5EF4-FFF2-40B4-BE49-F238E27FC236}">
              <a16:creationId xmlns:a16="http://schemas.microsoft.com/office/drawing/2014/main" id="{00000000-0008-0000-3200-00003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9" name="Option Button 2108">
          <a:extLst>
            <a:ext uri="{FF2B5EF4-FFF2-40B4-BE49-F238E27FC236}">
              <a16:creationId xmlns:a16="http://schemas.microsoft.com/office/drawing/2014/main" id="{00000000-0008-0000-3200-00003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0" name="Option Button 2109">
          <a:extLst>
            <a:ext uri="{FF2B5EF4-FFF2-40B4-BE49-F238E27FC236}">
              <a16:creationId xmlns:a16="http://schemas.microsoft.com/office/drawing/2014/main" id="{00000000-0008-0000-3200-00003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1" name="Group Box 2110" descr="Group Box 5">
          <a:extLst>
            <a:ext uri="{FF2B5EF4-FFF2-40B4-BE49-F238E27FC236}">
              <a16:creationId xmlns:a16="http://schemas.microsoft.com/office/drawing/2014/main" id="{00000000-0008-0000-3200-00003F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442</xdr:row>
      <xdr:rowOff>28440</xdr:rowOff>
    </xdr:from>
    <xdr:to>
      <xdr:col>7</xdr:col>
      <xdr:colOff>-363960</xdr:colOff>
      <xdr:row>443</xdr:row>
      <xdr:rowOff>0</xdr:rowOff>
    </xdr:to>
    <xdr:sp macro="" textlink="">
      <xdr:nvSpPr>
        <xdr:cNvPr id="2112" name="Option Button 2111">
          <a:extLst>
            <a:ext uri="{FF2B5EF4-FFF2-40B4-BE49-F238E27FC236}">
              <a16:creationId xmlns:a16="http://schemas.microsoft.com/office/drawing/2014/main" id="{00000000-0008-0000-3200-00004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3" name="Option Button 2112">
          <a:extLst>
            <a:ext uri="{FF2B5EF4-FFF2-40B4-BE49-F238E27FC236}">
              <a16:creationId xmlns:a16="http://schemas.microsoft.com/office/drawing/2014/main" id="{00000000-0008-0000-3200-00004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4" name="Option Button 2113">
          <a:extLst>
            <a:ext uri="{FF2B5EF4-FFF2-40B4-BE49-F238E27FC236}">
              <a16:creationId xmlns:a16="http://schemas.microsoft.com/office/drawing/2014/main" id="{00000000-0008-0000-3200-00004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5" name="Option Button 2114">
          <a:extLst>
            <a:ext uri="{FF2B5EF4-FFF2-40B4-BE49-F238E27FC236}">
              <a16:creationId xmlns:a16="http://schemas.microsoft.com/office/drawing/2014/main" id="{00000000-0008-0000-3200-00004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6" name="Group Box 2115" descr="Group Box 5">
          <a:extLst>
            <a:ext uri="{FF2B5EF4-FFF2-40B4-BE49-F238E27FC236}">
              <a16:creationId xmlns:a16="http://schemas.microsoft.com/office/drawing/2014/main" id="{00000000-0008-0000-3200-000044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443</xdr:row>
      <xdr:rowOff>28440</xdr:rowOff>
    </xdr:from>
    <xdr:to>
      <xdr:col>7</xdr:col>
      <xdr:colOff>-363960</xdr:colOff>
      <xdr:row>444</xdr:row>
      <xdr:rowOff>0</xdr:rowOff>
    </xdr:to>
    <xdr:sp macro="" textlink="">
      <xdr:nvSpPr>
        <xdr:cNvPr id="2117" name="Option Button 2116">
          <a:extLst>
            <a:ext uri="{FF2B5EF4-FFF2-40B4-BE49-F238E27FC236}">
              <a16:creationId xmlns:a16="http://schemas.microsoft.com/office/drawing/2014/main" id="{00000000-0008-0000-3200-00004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8" name="Option Button 2117">
          <a:extLst>
            <a:ext uri="{FF2B5EF4-FFF2-40B4-BE49-F238E27FC236}">
              <a16:creationId xmlns:a16="http://schemas.microsoft.com/office/drawing/2014/main" id="{00000000-0008-0000-3200-00004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9" name="Option Button 2118">
          <a:extLst>
            <a:ext uri="{FF2B5EF4-FFF2-40B4-BE49-F238E27FC236}">
              <a16:creationId xmlns:a16="http://schemas.microsoft.com/office/drawing/2014/main" id="{00000000-0008-0000-3200-00004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0" name="Option Button 2119">
          <a:extLst>
            <a:ext uri="{FF2B5EF4-FFF2-40B4-BE49-F238E27FC236}">
              <a16:creationId xmlns:a16="http://schemas.microsoft.com/office/drawing/2014/main" id="{00000000-0008-0000-3200-00004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1" name="Group Box 2120" descr="Group Box 5">
          <a:extLst>
            <a:ext uri="{FF2B5EF4-FFF2-40B4-BE49-F238E27FC236}">
              <a16:creationId xmlns:a16="http://schemas.microsoft.com/office/drawing/2014/main" id="{00000000-0008-0000-3200-000049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444</xdr:row>
      <xdr:rowOff>28440</xdr:rowOff>
    </xdr:from>
    <xdr:to>
      <xdr:col>7</xdr:col>
      <xdr:colOff>-363960</xdr:colOff>
      <xdr:row>445</xdr:row>
      <xdr:rowOff>0</xdr:rowOff>
    </xdr:to>
    <xdr:sp macro="" textlink="">
      <xdr:nvSpPr>
        <xdr:cNvPr id="2122" name="Option Button 2121">
          <a:extLst>
            <a:ext uri="{FF2B5EF4-FFF2-40B4-BE49-F238E27FC236}">
              <a16:creationId xmlns:a16="http://schemas.microsoft.com/office/drawing/2014/main" id="{00000000-0008-0000-3200-00004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3" name="Option Button 2122">
          <a:extLst>
            <a:ext uri="{FF2B5EF4-FFF2-40B4-BE49-F238E27FC236}">
              <a16:creationId xmlns:a16="http://schemas.microsoft.com/office/drawing/2014/main" id="{00000000-0008-0000-3200-00004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4" name="Option Button 2123">
          <a:extLst>
            <a:ext uri="{FF2B5EF4-FFF2-40B4-BE49-F238E27FC236}">
              <a16:creationId xmlns:a16="http://schemas.microsoft.com/office/drawing/2014/main" id="{00000000-0008-0000-3200-00004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5" name="Option Button 2124">
          <a:extLst>
            <a:ext uri="{FF2B5EF4-FFF2-40B4-BE49-F238E27FC236}">
              <a16:creationId xmlns:a16="http://schemas.microsoft.com/office/drawing/2014/main" id="{00000000-0008-0000-3200-00004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6" name="Group Box 2125" descr="Group Box 5">
          <a:extLst>
            <a:ext uri="{FF2B5EF4-FFF2-40B4-BE49-F238E27FC236}">
              <a16:creationId xmlns:a16="http://schemas.microsoft.com/office/drawing/2014/main" id="{00000000-0008-0000-3200-00004E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445</xdr:row>
      <xdr:rowOff>28440</xdr:rowOff>
    </xdr:from>
    <xdr:to>
      <xdr:col>7</xdr:col>
      <xdr:colOff>-363960</xdr:colOff>
      <xdr:row>446</xdr:row>
      <xdr:rowOff>0</xdr:rowOff>
    </xdr:to>
    <xdr:sp macro="" textlink="">
      <xdr:nvSpPr>
        <xdr:cNvPr id="2127" name="Option Button 2126">
          <a:extLst>
            <a:ext uri="{FF2B5EF4-FFF2-40B4-BE49-F238E27FC236}">
              <a16:creationId xmlns:a16="http://schemas.microsoft.com/office/drawing/2014/main" id="{00000000-0008-0000-3200-00004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8" name="Option Button 2127">
          <a:extLst>
            <a:ext uri="{FF2B5EF4-FFF2-40B4-BE49-F238E27FC236}">
              <a16:creationId xmlns:a16="http://schemas.microsoft.com/office/drawing/2014/main" id="{00000000-0008-0000-3200-00005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9" name="Option Button 2128">
          <a:extLst>
            <a:ext uri="{FF2B5EF4-FFF2-40B4-BE49-F238E27FC236}">
              <a16:creationId xmlns:a16="http://schemas.microsoft.com/office/drawing/2014/main" id="{00000000-0008-0000-3200-00005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0" name="Option Button 2129">
          <a:extLst>
            <a:ext uri="{FF2B5EF4-FFF2-40B4-BE49-F238E27FC236}">
              <a16:creationId xmlns:a16="http://schemas.microsoft.com/office/drawing/2014/main" id="{00000000-0008-0000-3200-00005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1" name="Group Box 2130" descr="Group Box 5">
          <a:extLst>
            <a:ext uri="{FF2B5EF4-FFF2-40B4-BE49-F238E27FC236}">
              <a16:creationId xmlns:a16="http://schemas.microsoft.com/office/drawing/2014/main" id="{00000000-0008-0000-3200-000053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446</xdr:row>
      <xdr:rowOff>28440</xdr:rowOff>
    </xdr:from>
    <xdr:to>
      <xdr:col>7</xdr:col>
      <xdr:colOff>-363960</xdr:colOff>
      <xdr:row>447</xdr:row>
      <xdr:rowOff>0</xdr:rowOff>
    </xdr:to>
    <xdr:sp macro="" textlink="">
      <xdr:nvSpPr>
        <xdr:cNvPr id="2132" name="Option Button 2131">
          <a:extLst>
            <a:ext uri="{FF2B5EF4-FFF2-40B4-BE49-F238E27FC236}">
              <a16:creationId xmlns:a16="http://schemas.microsoft.com/office/drawing/2014/main" id="{00000000-0008-0000-3200-00005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3" name="Option Button 2132">
          <a:extLst>
            <a:ext uri="{FF2B5EF4-FFF2-40B4-BE49-F238E27FC236}">
              <a16:creationId xmlns:a16="http://schemas.microsoft.com/office/drawing/2014/main" id="{00000000-0008-0000-3200-00005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4" name="Option Button 2133">
          <a:extLst>
            <a:ext uri="{FF2B5EF4-FFF2-40B4-BE49-F238E27FC236}">
              <a16:creationId xmlns:a16="http://schemas.microsoft.com/office/drawing/2014/main" id="{00000000-0008-0000-3200-00005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5" name="Option Button 2134">
          <a:extLst>
            <a:ext uri="{FF2B5EF4-FFF2-40B4-BE49-F238E27FC236}">
              <a16:creationId xmlns:a16="http://schemas.microsoft.com/office/drawing/2014/main" id="{00000000-0008-0000-3200-00005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6" name="Group Box 2135" descr="Group Box 5">
          <a:extLst>
            <a:ext uri="{FF2B5EF4-FFF2-40B4-BE49-F238E27FC236}">
              <a16:creationId xmlns:a16="http://schemas.microsoft.com/office/drawing/2014/main" id="{00000000-0008-0000-3200-000058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447</xdr:row>
      <xdr:rowOff>28440</xdr:rowOff>
    </xdr:from>
    <xdr:to>
      <xdr:col>7</xdr:col>
      <xdr:colOff>-363960</xdr:colOff>
      <xdr:row>448</xdr:row>
      <xdr:rowOff>0</xdr:rowOff>
    </xdr:to>
    <xdr:sp macro="" textlink="">
      <xdr:nvSpPr>
        <xdr:cNvPr id="2137" name="Option Button 2136">
          <a:extLst>
            <a:ext uri="{FF2B5EF4-FFF2-40B4-BE49-F238E27FC236}">
              <a16:creationId xmlns:a16="http://schemas.microsoft.com/office/drawing/2014/main" id="{00000000-0008-0000-3200-00005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8" name="Option Button 2137">
          <a:extLst>
            <a:ext uri="{FF2B5EF4-FFF2-40B4-BE49-F238E27FC236}">
              <a16:creationId xmlns:a16="http://schemas.microsoft.com/office/drawing/2014/main" id="{00000000-0008-0000-3200-00005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9" name="Option Button 2138">
          <a:extLst>
            <a:ext uri="{FF2B5EF4-FFF2-40B4-BE49-F238E27FC236}">
              <a16:creationId xmlns:a16="http://schemas.microsoft.com/office/drawing/2014/main" id="{00000000-0008-0000-3200-00005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0" name="Option Button 2139">
          <a:extLst>
            <a:ext uri="{FF2B5EF4-FFF2-40B4-BE49-F238E27FC236}">
              <a16:creationId xmlns:a16="http://schemas.microsoft.com/office/drawing/2014/main" id="{00000000-0008-0000-3200-00005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1" name="Group Box 2140" descr="Group Box 5">
          <a:extLst>
            <a:ext uri="{FF2B5EF4-FFF2-40B4-BE49-F238E27FC236}">
              <a16:creationId xmlns:a16="http://schemas.microsoft.com/office/drawing/2014/main" id="{00000000-0008-0000-3200-00005D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448</xdr:row>
      <xdr:rowOff>28440</xdr:rowOff>
    </xdr:from>
    <xdr:to>
      <xdr:col>7</xdr:col>
      <xdr:colOff>-363960</xdr:colOff>
      <xdr:row>449</xdr:row>
      <xdr:rowOff>0</xdr:rowOff>
    </xdr:to>
    <xdr:sp macro="" textlink="">
      <xdr:nvSpPr>
        <xdr:cNvPr id="2142" name="Option Button 2141">
          <a:extLst>
            <a:ext uri="{FF2B5EF4-FFF2-40B4-BE49-F238E27FC236}">
              <a16:creationId xmlns:a16="http://schemas.microsoft.com/office/drawing/2014/main" id="{00000000-0008-0000-3200-00005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3" name="Option Button 2142">
          <a:extLst>
            <a:ext uri="{FF2B5EF4-FFF2-40B4-BE49-F238E27FC236}">
              <a16:creationId xmlns:a16="http://schemas.microsoft.com/office/drawing/2014/main" id="{00000000-0008-0000-3200-00005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4" name="Option Button 2143">
          <a:extLst>
            <a:ext uri="{FF2B5EF4-FFF2-40B4-BE49-F238E27FC236}">
              <a16:creationId xmlns:a16="http://schemas.microsoft.com/office/drawing/2014/main" id="{00000000-0008-0000-3200-00006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5" name="Option Button 2144">
          <a:extLst>
            <a:ext uri="{FF2B5EF4-FFF2-40B4-BE49-F238E27FC236}">
              <a16:creationId xmlns:a16="http://schemas.microsoft.com/office/drawing/2014/main" id="{00000000-0008-0000-3200-00006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6" name="Group Box 2145" descr="Group Box 5">
          <a:extLst>
            <a:ext uri="{FF2B5EF4-FFF2-40B4-BE49-F238E27FC236}">
              <a16:creationId xmlns:a16="http://schemas.microsoft.com/office/drawing/2014/main" id="{00000000-0008-0000-3200-000062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449</xdr:row>
      <xdr:rowOff>28440</xdr:rowOff>
    </xdr:from>
    <xdr:to>
      <xdr:col>7</xdr:col>
      <xdr:colOff>-363960</xdr:colOff>
      <xdr:row>450</xdr:row>
      <xdr:rowOff>0</xdr:rowOff>
    </xdr:to>
    <xdr:sp macro="" textlink="">
      <xdr:nvSpPr>
        <xdr:cNvPr id="2147" name="Option Button 2146">
          <a:extLst>
            <a:ext uri="{FF2B5EF4-FFF2-40B4-BE49-F238E27FC236}">
              <a16:creationId xmlns:a16="http://schemas.microsoft.com/office/drawing/2014/main" id="{00000000-0008-0000-3200-00006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8" name="Option Button 2147">
          <a:extLst>
            <a:ext uri="{FF2B5EF4-FFF2-40B4-BE49-F238E27FC236}">
              <a16:creationId xmlns:a16="http://schemas.microsoft.com/office/drawing/2014/main" id="{00000000-0008-0000-3200-00006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9" name="Option Button 2148">
          <a:extLst>
            <a:ext uri="{FF2B5EF4-FFF2-40B4-BE49-F238E27FC236}">
              <a16:creationId xmlns:a16="http://schemas.microsoft.com/office/drawing/2014/main" id="{00000000-0008-0000-3200-00006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0" name="Option Button 2149">
          <a:extLst>
            <a:ext uri="{FF2B5EF4-FFF2-40B4-BE49-F238E27FC236}">
              <a16:creationId xmlns:a16="http://schemas.microsoft.com/office/drawing/2014/main" id="{00000000-0008-0000-3200-00006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1" name="Group Box 2150" descr="Group Box 5">
          <a:extLst>
            <a:ext uri="{FF2B5EF4-FFF2-40B4-BE49-F238E27FC236}">
              <a16:creationId xmlns:a16="http://schemas.microsoft.com/office/drawing/2014/main" id="{00000000-0008-0000-3200-000067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450</xdr:row>
      <xdr:rowOff>28440</xdr:rowOff>
    </xdr:from>
    <xdr:to>
      <xdr:col>7</xdr:col>
      <xdr:colOff>-363960</xdr:colOff>
      <xdr:row>451</xdr:row>
      <xdr:rowOff>0</xdr:rowOff>
    </xdr:to>
    <xdr:sp macro="" textlink="">
      <xdr:nvSpPr>
        <xdr:cNvPr id="2152" name="Option Button 2151">
          <a:extLst>
            <a:ext uri="{FF2B5EF4-FFF2-40B4-BE49-F238E27FC236}">
              <a16:creationId xmlns:a16="http://schemas.microsoft.com/office/drawing/2014/main" id="{00000000-0008-0000-3200-00006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3" name="Option Button 2152">
          <a:extLst>
            <a:ext uri="{FF2B5EF4-FFF2-40B4-BE49-F238E27FC236}">
              <a16:creationId xmlns:a16="http://schemas.microsoft.com/office/drawing/2014/main" id="{00000000-0008-0000-3200-00006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4" name="Option Button 2153">
          <a:extLst>
            <a:ext uri="{FF2B5EF4-FFF2-40B4-BE49-F238E27FC236}">
              <a16:creationId xmlns:a16="http://schemas.microsoft.com/office/drawing/2014/main" id="{00000000-0008-0000-3200-00006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5" name="Option Button 2154">
          <a:extLst>
            <a:ext uri="{FF2B5EF4-FFF2-40B4-BE49-F238E27FC236}">
              <a16:creationId xmlns:a16="http://schemas.microsoft.com/office/drawing/2014/main" id="{00000000-0008-0000-3200-00006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6" name="Group Box 2155" descr="Group Box 5">
          <a:extLst>
            <a:ext uri="{FF2B5EF4-FFF2-40B4-BE49-F238E27FC236}">
              <a16:creationId xmlns:a16="http://schemas.microsoft.com/office/drawing/2014/main" id="{00000000-0008-0000-3200-00006C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451</xdr:row>
      <xdr:rowOff>28440</xdr:rowOff>
    </xdr:from>
    <xdr:to>
      <xdr:col>7</xdr:col>
      <xdr:colOff>-363960</xdr:colOff>
      <xdr:row>452</xdr:row>
      <xdr:rowOff>0</xdr:rowOff>
    </xdr:to>
    <xdr:sp macro="" textlink="">
      <xdr:nvSpPr>
        <xdr:cNvPr id="2157" name="Option Button 2156">
          <a:extLst>
            <a:ext uri="{FF2B5EF4-FFF2-40B4-BE49-F238E27FC236}">
              <a16:creationId xmlns:a16="http://schemas.microsoft.com/office/drawing/2014/main" id="{00000000-0008-0000-3200-00006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8" name="Option Button 2157">
          <a:extLst>
            <a:ext uri="{FF2B5EF4-FFF2-40B4-BE49-F238E27FC236}">
              <a16:creationId xmlns:a16="http://schemas.microsoft.com/office/drawing/2014/main" id="{00000000-0008-0000-3200-00006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9" name="Option Button 2158">
          <a:extLst>
            <a:ext uri="{FF2B5EF4-FFF2-40B4-BE49-F238E27FC236}">
              <a16:creationId xmlns:a16="http://schemas.microsoft.com/office/drawing/2014/main" id="{00000000-0008-0000-3200-00006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0" name="Option Button 2159">
          <a:extLst>
            <a:ext uri="{FF2B5EF4-FFF2-40B4-BE49-F238E27FC236}">
              <a16:creationId xmlns:a16="http://schemas.microsoft.com/office/drawing/2014/main" id="{00000000-0008-0000-3200-00007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1" name="Group Box 2160" descr="Group Box 5">
          <a:extLst>
            <a:ext uri="{FF2B5EF4-FFF2-40B4-BE49-F238E27FC236}">
              <a16:creationId xmlns:a16="http://schemas.microsoft.com/office/drawing/2014/main" id="{00000000-0008-0000-3200-000071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452</xdr:row>
      <xdr:rowOff>28440</xdr:rowOff>
    </xdr:from>
    <xdr:to>
      <xdr:col>7</xdr:col>
      <xdr:colOff>-363960</xdr:colOff>
      <xdr:row>453</xdr:row>
      <xdr:rowOff>0</xdr:rowOff>
    </xdr:to>
    <xdr:sp macro="" textlink="">
      <xdr:nvSpPr>
        <xdr:cNvPr id="2162" name="Option Button 2161">
          <a:extLst>
            <a:ext uri="{FF2B5EF4-FFF2-40B4-BE49-F238E27FC236}">
              <a16:creationId xmlns:a16="http://schemas.microsoft.com/office/drawing/2014/main" id="{00000000-0008-0000-3200-00007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3" name="Option Button 2162">
          <a:extLst>
            <a:ext uri="{FF2B5EF4-FFF2-40B4-BE49-F238E27FC236}">
              <a16:creationId xmlns:a16="http://schemas.microsoft.com/office/drawing/2014/main" id="{00000000-0008-0000-3200-00007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4" name="Option Button 2163">
          <a:extLst>
            <a:ext uri="{FF2B5EF4-FFF2-40B4-BE49-F238E27FC236}">
              <a16:creationId xmlns:a16="http://schemas.microsoft.com/office/drawing/2014/main" id="{00000000-0008-0000-3200-00007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5" name="Option Button 2164">
          <a:extLst>
            <a:ext uri="{FF2B5EF4-FFF2-40B4-BE49-F238E27FC236}">
              <a16:creationId xmlns:a16="http://schemas.microsoft.com/office/drawing/2014/main" id="{00000000-0008-0000-3200-00007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6" name="Group Box 2165" descr="Group Box 5">
          <a:extLst>
            <a:ext uri="{FF2B5EF4-FFF2-40B4-BE49-F238E27FC236}">
              <a16:creationId xmlns:a16="http://schemas.microsoft.com/office/drawing/2014/main" id="{00000000-0008-0000-3200-000076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453</xdr:row>
      <xdr:rowOff>28440</xdr:rowOff>
    </xdr:from>
    <xdr:to>
      <xdr:col>7</xdr:col>
      <xdr:colOff>-363960</xdr:colOff>
      <xdr:row>454</xdr:row>
      <xdr:rowOff>0</xdr:rowOff>
    </xdr:to>
    <xdr:sp macro="" textlink="">
      <xdr:nvSpPr>
        <xdr:cNvPr id="2167" name="Option Button 2166">
          <a:extLst>
            <a:ext uri="{FF2B5EF4-FFF2-40B4-BE49-F238E27FC236}">
              <a16:creationId xmlns:a16="http://schemas.microsoft.com/office/drawing/2014/main" id="{00000000-0008-0000-3200-00007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8" name="Option Button 2167">
          <a:extLst>
            <a:ext uri="{FF2B5EF4-FFF2-40B4-BE49-F238E27FC236}">
              <a16:creationId xmlns:a16="http://schemas.microsoft.com/office/drawing/2014/main" id="{00000000-0008-0000-3200-00007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9" name="Option Button 2168">
          <a:extLst>
            <a:ext uri="{FF2B5EF4-FFF2-40B4-BE49-F238E27FC236}">
              <a16:creationId xmlns:a16="http://schemas.microsoft.com/office/drawing/2014/main" id="{00000000-0008-0000-3200-00007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0" name="Option Button 2169">
          <a:extLst>
            <a:ext uri="{FF2B5EF4-FFF2-40B4-BE49-F238E27FC236}">
              <a16:creationId xmlns:a16="http://schemas.microsoft.com/office/drawing/2014/main" id="{00000000-0008-0000-3200-00007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1" name="Group Box 2170" descr="Group Box 5">
          <a:extLst>
            <a:ext uri="{FF2B5EF4-FFF2-40B4-BE49-F238E27FC236}">
              <a16:creationId xmlns:a16="http://schemas.microsoft.com/office/drawing/2014/main" id="{00000000-0008-0000-3200-00007B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454</xdr:row>
      <xdr:rowOff>28440</xdr:rowOff>
    </xdr:from>
    <xdr:to>
      <xdr:col>7</xdr:col>
      <xdr:colOff>-363960</xdr:colOff>
      <xdr:row>455</xdr:row>
      <xdr:rowOff>0</xdr:rowOff>
    </xdr:to>
    <xdr:sp macro="" textlink="">
      <xdr:nvSpPr>
        <xdr:cNvPr id="2172" name="Option Button 2171">
          <a:extLst>
            <a:ext uri="{FF2B5EF4-FFF2-40B4-BE49-F238E27FC236}">
              <a16:creationId xmlns:a16="http://schemas.microsoft.com/office/drawing/2014/main" id="{00000000-0008-0000-3200-00007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3" name="Option Button 2172">
          <a:extLst>
            <a:ext uri="{FF2B5EF4-FFF2-40B4-BE49-F238E27FC236}">
              <a16:creationId xmlns:a16="http://schemas.microsoft.com/office/drawing/2014/main" id="{00000000-0008-0000-3200-00007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4" name="Option Button 2173">
          <a:extLst>
            <a:ext uri="{FF2B5EF4-FFF2-40B4-BE49-F238E27FC236}">
              <a16:creationId xmlns:a16="http://schemas.microsoft.com/office/drawing/2014/main" id="{00000000-0008-0000-3200-00007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5" name="Option Button 2174">
          <a:extLst>
            <a:ext uri="{FF2B5EF4-FFF2-40B4-BE49-F238E27FC236}">
              <a16:creationId xmlns:a16="http://schemas.microsoft.com/office/drawing/2014/main" id="{00000000-0008-0000-3200-00007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6" name="Group Box 2175" descr="Group Box 5">
          <a:extLst>
            <a:ext uri="{FF2B5EF4-FFF2-40B4-BE49-F238E27FC236}">
              <a16:creationId xmlns:a16="http://schemas.microsoft.com/office/drawing/2014/main" id="{00000000-0008-0000-3200-000080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455</xdr:row>
      <xdr:rowOff>28440</xdr:rowOff>
    </xdr:from>
    <xdr:to>
      <xdr:col>7</xdr:col>
      <xdr:colOff>-363960</xdr:colOff>
      <xdr:row>456</xdr:row>
      <xdr:rowOff>0</xdr:rowOff>
    </xdr:to>
    <xdr:sp macro="" textlink="">
      <xdr:nvSpPr>
        <xdr:cNvPr id="2177" name="Option Button 2176">
          <a:extLst>
            <a:ext uri="{FF2B5EF4-FFF2-40B4-BE49-F238E27FC236}">
              <a16:creationId xmlns:a16="http://schemas.microsoft.com/office/drawing/2014/main" id="{00000000-0008-0000-3200-00008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8" name="Option Button 2177">
          <a:extLst>
            <a:ext uri="{FF2B5EF4-FFF2-40B4-BE49-F238E27FC236}">
              <a16:creationId xmlns:a16="http://schemas.microsoft.com/office/drawing/2014/main" id="{00000000-0008-0000-3200-00008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9" name="Option Button 2178">
          <a:extLst>
            <a:ext uri="{FF2B5EF4-FFF2-40B4-BE49-F238E27FC236}">
              <a16:creationId xmlns:a16="http://schemas.microsoft.com/office/drawing/2014/main" id="{00000000-0008-0000-3200-00008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0" name="Option Button 2179">
          <a:extLst>
            <a:ext uri="{FF2B5EF4-FFF2-40B4-BE49-F238E27FC236}">
              <a16:creationId xmlns:a16="http://schemas.microsoft.com/office/drawing/2014/main" id="{00000000-0008-0000-3200-00008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1" name="Group Box 2180" descr="Group Box 5">
          <a:extLst>
            <a:ext uri="{FF2B5EF4-FFF2-40B4-BE49-F238E27FC236}">
              <a16:creationId xmlns:a16="http://schemas.microsoft.com/office/drawing/2014/main" id="{00000000-0008-0000-3200-000085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456</xdr:row>
      <xdr:rowOff>28440</xdr:rowOff>
    </xdr:from>
    <xdr:to>
      <xdr:col>7</xdr:col>
      <xdr:colOff>-363960</xdr:colOff>
      <xdr:row>457</xdr:row>
      <xdr:rowOff>0</xdr:rowOff>
    </xdr:to>
    <xdr:sp macro="" textlink="">
      <xdr:nvSpPr>
        <xdr:cNvPr id="2182" name="Option Button 2181">
          <a:extLst>
            <a:ext uri="{FF2B5EF4-FFF2-40B4-BE49-F238E27FC236}">
              <a16:creationId xmlns:a16="http://schemas.microsoft.com/office/drawing/2014/main" id="{00000000-0008-0000-3200-00008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3" name="Option Button 2182">
          <a:extLst>
            <a:ext uri="{FF2B5EF4-FFF2-40B4-BE49-F238E27FC236}">
              <a16:creationId xmlns:a16="http://schemas.microsoft.com/office/drawing/2014/main" id="{00000000-0008-0000-3200-00008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4" name="Option Button 2183">
          <a:extLst>
            <a:ext uri="{FF2B5EF4-FFF2-40B4-BE49-F238E27FC236}">
              <a16:creationId xmlns:a16="http://schemas.microsoft.com/office/drawing/2014/main" id="{00000000-0008-0000-3200-00008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5" name="Option Button 2184">
          <a:extLst>
            <a:ext uri="{FF2B5EF4-FFF2-40B4-BE49-F238E27FC236}">
              <a16:creationId xmlns:a16="http://schemas.microsoft.com/office/drawing/2014/main" id="{00000000-0008-0000-3200-00008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6" name="Group Box 2185" descr="Group Box 5">
          <a:extLst>
            <a:ext uri="{FF2B5EF4-FFF2-40B4-BE49-F238E27FC236}">
              <a16:creationId xmlns:a16="http://schemas.microsoft.com/office/drawing/2014/main" id="{00000000-0008-0000-3200-00008A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457</xdr:row>
      <xdr:rowOff>28440</xdr:rowOff>
    </xdr:from>
    <xdr:to>
      <xdr:col>7</xdr:col>
      <xdr:colOff>-363960</xdr:colOff>
      <xdr:row>458</xdr:row>
      <xdr:rowOff>0</xdr:rowOff>
    </xdr:to>
    <xdr:sp macro="" textlink="">
      <xdr:nvSpPr>
        <xdr:cNvPr id="2187" name="Option Button 2186">
          <a:extLst>
            <a:ext uri="{FF2B5EF4-FFF2-40B4-BE49-F238E27FC236}">
              <a16:creationId xmlns:a16="http://schemas.microsoft.com/office/drawing/2014/main" id="{00000000-0008-0000-3200-00008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8" name="Option Button 2187">
          <a:extLst>
            <a:ext uri="{FF2B5EF4-FFF2-40B4-BE49-F238E27FC236}">
              <a16:creationId xmlns:a16="http://schemas.microsoft.com/office/drawing/2014/main" id="{00000000-0008-0000-3200-00008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9" name="Option Button 2188">
          <a:extLst>
            <a:ext uri="{FF2B5EF4-FFF2-40B4-BE49-F238E27FC236}">
              <a16:creationId xmlns:a16="http://schemas.microsoft.com/office/drawing/2014/main" id="{00000000-0008-0000-3200-00008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0" name="Option Button 2189">
          <a:extLst>
            <a:ext uri="{FF2B5EF4-FFF2-40B4-BE49-F238E27FC236}">
              <a16:creationId xmlns:a16="http://schemas.microsoft.com/office/drawing/2014/main" id="{00000000-0008-0000-3200-00008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1" name="Group Box 2190" descr="Group Box 5">
          <a:extLst>
            <a:ext uri="{FF2B5EF4-FFF2-40B4-BE49-F238E27FC236}">
              <a16:creationId xmlns:a16="http://schemas.microsoft.com/office/drawing/2014/main" id="{00000000-0008-0000-3200-00008F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458</xdr:row>
      <xdr:rowOff>28440</xdr:rowOff>
    </xdr:from>
    <xdr:to>
      <xdr:col>7</xdr:col>
      <xdr:colOff>-363960</xdr:colOff>
      <xdr:row>459</xdr:row>
      <xdr:rowOff>0</xdr:rowOff>
    </xdr:to>
    <xdr:sp macro="" textlink="">
      <xdr:nvSpPr>
        <xdr:cNvPr id="2192" name="Option Button 2191">
          <a:extLst>
            <a:ext uri="{FF2B5EF4-FFF2-40B4-BE49-F238E27FC236}">
              <a16:creationId xmlns:a16="http://schemas.microsoft.com/office/drawing/2014/main" id="{00000000-0008-0000-3200-00009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3" name="Option Button 2192">
          <a:extLst>
            <a:ext uri="{FF2B5EF4-FFF2-40B4-BE49-F238E27FC236}">
              <a16:creationId xmlns:a16="http://schemas.microsoft.com/office/drawing/2014/main" id="{00000000-0008-0000-3200-00009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4" name="Option Button 2193">
          <a:extLst>
            <a:ext uri="{FF2B5EF4-FFF2-40B4-BE49-F238E27FC236}">
              <a16:creationId xmlns:a16="http://schemas.microsoft.com/office/drawing/2014/main" id="{00000000-0008-0000-3200-00009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5" name="Option Button 2194">
          <a:extLst>
            <a:ext uri="{FF2B5EF4-FFF2-40B4-BE49-F238E27FC236}">
              <a16:creationId xmlns:a16="http://schemas.microsoft.com/office/drawing/2014/main" id="{00000000-0008-0000-3200-00009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6" name="Group Box 2195" descr="Group Box 5">
          <a:extLst>
            <a:ext uri="{FF2B5EF4-FFF2-40B4-BE49-F238E27FC236}">
              <a16:creationId xmlns:a16="http://schemas.microsoft.com/office/drawing/2014/main" id="{00000000-0008-0000-3200-000094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459</xdr:row>
      <xdr:rowOff>28440</xdr:rowOff>
    </xdr:from>
    <xdr:to>
      <xdr:col>7</xdr:col>
      <xdr:colOff>-363960</xdr:colOff>
      <xdr:row>460</xdr:row>
      <xdr:rowOff>0</xdr:rowOff>
    </xdr:to>
    <xdr:sp macro="" textlink="">
      <xdr:nvSpPr>
        <xdr:cNvPr id="2197" name="Option Button 2196">
          <a:extLst>
            <a:ext uri="{FF2B5EF4-FFF2-40B4-BE49-F238E27FC236}">
              <a16:creationId xmlns:a16="http://schemas.microsoft.com/office/drawing/2014/main" id="{00000000-0008-0000-3200-00009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8" name="Option Button 2197">
          <a:extLst>
            <a:ext uri="{FF2B5EF4-FFF2-40B4-BE49-F238E27FC236}">
              <a16:creationId xmlns:a16="http://schemas.microsoft.com/office/drawing/2014/main" id="{00000000-0008-0000-3200-00009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9" name="Option Button 2198">
          <a:extLst>
            <a:ext uri="{FF2B5EF4-FFF2-40B4-BE49-F238E27FC236}">
              <a16:creationId xmlns:a16="http://schemas.microsoft.com/office/drawing/2014/main" id="{00000000-0008-0000-3200-00009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0" name="Option Button 2199">
          <a:extLst>
            <a:ext uri="{FF2B5EF4-FFF2-40B4-BE49-F238E27FC236}">
              <a16:creationId xmlns:a16="http://schemas.microsoft.com/office/drawing/2014/main" id="{00000000-0008-0000-3200-00009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1" name="Group Box 2200" descr="Group Box 5">
          <a:extLst>
            <a:ext uri="{FF2B5EF4-FFF2-40B4-BE49-F238E27FC236}">
              <a16:creationId xmlns:a16="http://schemas.microsoft.com/office/drawing/2014/main" id="{00000000-0008-0000-3200-000099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460</xdr:row>
      <xdr:rowOff>28440</xdr:rowOff>
    </xdr:from>
    <xdr:to>
      <xdr:col>7</xdr:col>
      <xdr:colOff>-363960</xdr:colOff>
      <xdr:row>461</xdr:row>
      <xdr:rowOff>0</xdr:rowOff>
    </xdr:to>
    <xdr:sp macro="" textlink="">
      <xdr:nvSpPr>
        <xdr:cNvPr id="2202" name="Option Button 2201">
          <a:extLst>
            <a:ext uri="{FF2B5EF4-FFF2-40B4-BE49-F238E27FC236}">
              <a16:creationId xmlns:a16="http://schemas.microsoft.com/office/drawing/2014/main" id="{00000000-0008-0000-3200-00009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3" name="Option Button 2202">
          <a:extLst>
            <a:ext uri="{FF2B5EF4-FFF2-40B4-BE49-F238E27FC236}">
              <a16:creationId xmlns:a16="http://schemas.microsoft.com/office/drawing/2014/main" id="{00000000-0008-0000-3200-00009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4" name="Option Button 2203">
          <a:extLst>
            <a:ext uri="{FF2B5EF4-FFF2-40B4-BE49-F238E27FC236}">
              <a16:creationId xmlns:a16="http://schemas.microsoft.com/office/drawing/2014/main" id="{00000000-0008-0000-3200-00009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5" name="Option Button 2204">
          <a:extLst>
            <a:ext uri="{FF2B5EF4-FFF2-40B4-BE49-F238E27FC236}">
              <a16:creationId xmlns:a16="http://schemas.microsoft.com/office/drawing/2014/main" id="{00000000-0008-0000-3200-00009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6" name="Group Box 2205" descr="Group Box 5">
          <a:extLst>
            <a:ext uri="{FF2B5EF4-FFF2-40B4-BE49-F238E27FC236}">
              <a16:creationId xmlns:a16="http://schemas.microsoft.com/office/drawing/2014/main" id="{00000000-0008-0000-3200-00009E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461</xdr:row>
      <xdr:rowOff>28440</xdr:rowOff>
    </xdr:from>
    <xdr:to>
      <xdr:col>7</xdr:col>
      <xdr:colOff>-363960</xdr:colOff>
      <xdr:row>462</xdr:row>
      <xdr:rowOff>0</xdr:rowOff>
    </xdr:to>
    <xdr:sp macro="" textlink="">
      <xdr:nvSpPr>
        <xdr:cNvPr id="2207" name="Option Button 2206">
          <a:extLst>
            <a:ext uri="{FF2B5EF4-FFF2-40B4-BE49-F238E27FC236}">
              <a16:creationId xmlns:a16="http://schemas.microsoft.com/office/drawing/2014/main" id="{00000000-0008-0000-3200-00009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8" name="Option Button 2207">
          <a:extLst>
            <a:ext uri="{FF2B5EF4-FFF2-40B4-BE49-F238E27FC236}">
              <a16:creationId xmlns:a16="http://schemas.microsoft.com/office/drawing/2014/main" id="{00000000-0008-0000-3200-0000A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9" name="Option Button 2208">
          <a:extLst>
            <a:ext uri="{FF2B5EF4-FFF2-40B4-BE49-F238E27FC236}">
              <a16:creationId xmlns:a16="http://schemas.microsoft.com/office/drawing/2014/main" id="{00000000-0008-0000-3200-0000A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0" name="Option Button 2209">
          <a:extLst>
            <a:ext uri="{FF2B5EF4-FFF2-40B4-BE49-F238E27FC236}">
              <a16:creationId xmlns:a16="http://schemas.microsoft.com/office/drawing/2014/main" id="{00000000-0008-0000-3200-0000A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1" name="Group Box 2210" descr="Group Box 5">
          <a:extLst>
            <a:ext uri="{FF2B5EF4-FFF2-40B4-BE49-F238E27FC236}">
              <a16:creationId xmlns:a16="http://schemas.microsoft.com/office/drawing/2014/main" id="{00000000-0008-0000-3200-0000A3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462</xdr:row>
      <xdr:rowOff>28440</xdr:rowOff>
    </xdr:from>
    <xdr:to>
      <xdr:col>7</xdr:col>
      <xdr:colOff>-363960</xdr:colOff>
      <xdr:row>463</xdr:row>
      <xdr:rowOff>0</xdr:rowOff>
    </xdr:to>
    <xdr:sp macro="" textlink="">
      <xdr:nvSpPr>
        <xdr:cNvPr id="2212" name="Option Button 2211">
          <a:extLst>
            <a:ext uri="{FF2B5EF4-FFF2-40B4-BE49-F238E27FC236}">
              <a16:creationId xmlns:a16="http://schemas.microsoft.com/office/drawing/2014/main" id="{00000000-0008-0000-3200-0000A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3" name="Option Button 2212">
          <a:extLst>
            <a:ext uri="{FF2B5EF4-FFF2-40B4-BE49-F238E27FC236}">
              <a16:creationId xmlns:a16="http://schemas.microsoft.com/office/drawing/2014/main" id="{00000000-0008-0000-3200-0000A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4" name="Option Button 2213">
          <a:extLst>
            <a:ext uri="{FF2B5EF4-FFF2-40B4-BE49-F238E27FC236}">
              <a16:creationId xmlns:a16="http://schemas.microsoft.com/office/drawing/2014/main" id="{00000000-0008-0000-3200-0000A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5" name="Option Button 2214">
          <a:extLst>
            <a:ext uri="{FF2B5EF4-FFF2-40B4-BE49-F238E27FC236}">
              <a16:creationId xmlns:a16="http://schemas.microsoft.com/office/drawing/2014/main" id="{00000000-0008-0000-3200-0000A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6" name="Group Box 2215" descr="Group Box 5">
          <a:extLst>
            <a:ext uri="{FF2B5EF4-FFF2-40B4-BE49-F238E27FC236}">
              <a16:creationId xmlns:a16="http://schemas.microsoft.com/office/drawing/2014/main" id="{00000000-0008-0000-3200-0000A8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463</xdr:row>
      <xdr:rowOff>28440</xdr:rowOff>
    </xdr:from>
    <xdr:to>
      <xdr:col>7</xdr:col>
      <xdr:colOff>-363960</xdr:colOff>
      <xdr:row>464</xdr:row>
      <xdr:rowOff>0</xdr:rowOff>
    </xdr:to>
    <xdr:sp macro="" textlink="">
      <xdr:nvSpPr>
        <xdr:cNvPr id="2217" name="Option Button 2216">
          <a:extLst>
            <a:ext uri="{FF2B5EF4-FFF2-40B4-BE49-F238E27FC236}">
              <a16:creationId xmlns:a16="http://schemas.microsoft.com/office/drawing/2014/main" id="{00000000-0008-0000-3200-0000A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8" name="Option Button 2217">
          <a:extLst>
            <a:ext uri="{FF2B5EF4-FFF2-40B4-BE49-F238E27FC236}">
              <a16:creationId xmlns:a16="http://schemas.microsoft.com/office/drawing/2014/main" id="{00000000-0008-0000-3200-0000A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9" name="Option Button 2218">
          <a:extLst>
            <a:ext uri="{FF2B5EF4-FFF2-40B4-BE49-F238E27FC236}">
              <a16:creationId xmlns:a16="http://schemas.microsoft.com/office/drawing/2014/main" id="{00000000-0008-0000-3200-0000A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0" name="Option Button 2219">
          <a:extLst>
            <a:ext uri="{FF2B5EF4-FFF2-40B4-BE49-F238E27FC236}">
              <a16:creationId xmlns:a16="http://schemas.microsoft.com/office/drawing/2014/main" id="{00000000-0008-0000-3200-0000A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1" name="Group Box 2220" descr="Group Box 5">
          <a:extLst>
            <a:ext uri="{FF2B5EF4-FFF2-40B4-BE49-F238E27FC236}">
              <a16:creationId xmlns:a16="http://schemas.microsoft.com/office/drawing/2014/main" id="{00000000-0008-0000-3200-0000AD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464</xdr:row>
      <xdr:rowOff>28440</xdr:rowOff>
    </xdr:from>
    <xdr:to>
      <xdr:col>7</xdr:col>
      <xdr:colOff>-363960</xdr:colOff>
      <xdr:row>465</xdr:row>
      <xdr:rowOff>0</xdr:rowOff>
    </xdr:to>
    <xdr:sp macro="" textlink="">
      <xdr:nvSpPr>
        <xdr:cNvPr id="2222" name="Option Button 2221">
          <a:extLst>
            <a:ext uri="{FF2B5EF4-FFF2-40B4-BE49-F238E27FC236}">
              <a16:creationId xmlns:a16="http://schemas.microsoft.com/office/drawing/2014/main" id="{00000000-0008-0000-3200-0000A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3" name="Option Button 2222">
          <a:extLst>
            <a:ext uri="{FF2B5EF4-FFF2-40B4-BE49-F238E27FC236}">
              <a16:creationId xmlns:a16="http://schemas.microsoft.com/office/drawing/2014/main" id="{00000000-0008-0000-3200-0000A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4" name="Option Button 2223">
          <a:extLst>
            <a:ext uri="{FF2B5EF4-FFF2-40B4-BE49-F238E27FC236}">
              <a16:creationId xmlns:a16="http://schemas.microsoft.com/office/drawing/2014/main" id="{00000000-0008-0000-3200-0000B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5" name="Option Button 2224">
          <a:extLst>
            <a:ext uri="{FF2B5EF4-FFF2-40B4-BE49-F238E27FC236}">
              <a16:creationId xmlns:a16="http://schemas.microsoft.com/office/drawing/2014/main" id="{00000000-0008-0000-3200-0000B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6" name="Group Box 2225" descr="Group Box 5">
          <a:extLst>
            <a:ext uri="{FF2B5EF4-FFF2-40B4-BE49-F238E27FC236}">
              <a16:creationId xmlns:a16="http://schemas.microsoft.com/office/drawing/2014/main" id="{00000000-0008-0000-3200-0000B2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465</xdr:row>
      <xdr:rowOff>28440</xdr:rowOff>
    </xdr:from>
    <xdr:to>
      <xdr:col>7</xdr:col>
      <xdr:colOff>-363960</xdr:colOff>
      <xdr:row>466</xdr:row>
      <xdr:rowOff>0</xdr:rowOff>
    </xdr:to>
    <xdr:sp macro="" textlink="">
      <xdr:nvSpPr>
        <xdr:cNvPr id="2227" name="Option Button 2226">
          <a:extLst>
            <a:ext uri="{FF2B5EF4-FFF2-40B4-BE49-F238E27FC236}">
              <a16:creationId xmlns:a16="http://schemas.microsoft.com/office/drawing/2014/main" id="{00000000-0008-0000-3200-0000B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8" name="Option Button 2227">
          <a:extLst>
            <a:ext uri="{FF2B5EF4-FFF2-40B4-BE49-F238E27FC236}">
              <a16:creationId xmlns:a16="http://schemas.microsoft.com/office/drawing/2014/main" id="{00000000-0008-0000-3200-0000B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9" name="Option Button 2228">
          <a:extLst>
            <a:ext uri="{FF2B5EF4-FFF2-40B4-BE49-F238E27FC236}">
              <a16:creationId xmlns:a16="http://schemas.microsoft.com/office/drawing/2014/main" id="{00000000-0008-0000-3200-0000B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0" name="Option Button 2229">
          <a:extLst>
            <a:ext uri="{FF2B5EF4-FFF2-40B4-BE49-F238E27FC236}">
              <a16:creationId xmlns:a16="http://schemas.microsoft.com/office/drawing/2014/main" id="{00000000-0008-0000-3200-0000B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1" name="Group Box 2230" descr="Group Box 5">
          <a:extLst>
            <a:ext uri="{FF2B5EF4-FFF2-40B4-BE49-F238E27FC236}">
              <a16:creationId xmlns:a16="http://schemas.microsoft.com/office/drawing/2014/main" id="{00000000-0008-0000-3200-0000B7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466</xdr:row>
      <xdr:rowOff>28440</xdr:rowOff>
    </xdr:from>
    <xdr:to>
      <xdr:col>7</xdr:col>
      <xdr:colOff>-363960</xdr:colOff>
      <xdr:row>467</xdr:row>
      <xdr:rowOff>0</xdr:rowOff>
    </xdr:to>
    <xdr:sp macro="" textlink="">
      <xdr:nvSpPr>
        <xdr:cNvPr id="2232" name="Option Button 2231">
          <a:extLst>
            <a:ext uri="{FF2B5EF4-FFF2-40B4-BE49-F238E27FC236}">
              <a16:creationId xmlns:a16="http://schemas.microsoft.com/office/drawing/2014/main" id="{00000000-0008-0000-3200-0000B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3" name="Option Button 2232">
          <a:extLst>
            <a:ext uri="{FF2B5EF4-FFF2-40B4-BE49-F238E27FC236}">
              <a16:creationId xmlns:a16="http://schemas.microsoft.com/office/drawing/2014/main" id="{00000000-0008-0000-3200-0000B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4" name="Option Button 2233">
          <a:extLst>
            <a:ext uri="{FF2B5EF4-FFF2-40B4-BE49-F238E27FC236}">
              <a16:creationId xmlns:a16="http://schemas.microsoft.com/office/drawing/2014/main" id="{00000000-0008-0000-3200-0000B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5" name="Option Button 2234">
          <a:extLst>
            <a:ext uri="{FF2B5EF4-FFF2-40B4-BE49-F238E27FC236}">
              <a16:creationId xmlns:a16="http://schemas.microsoft.com/office/drawing/2014/main" id="{00000000-0008-0000-3200-0000B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6" name="Group Box 2235" descr="Group Box 5">
          <a:extLst>
            <a:ext uri="{FF2B5EF4-FFF2-40B4-BE49-F238E27FC236}">
              <a16:creationId xmlns:a16="http://schemas.microsoft.com/office/drawing/2014/main" id="{00000000-0008-0000-3200-0000BC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467</xdr:row>
      <xdr:rowOff>28440</xdr:rowOff>
    </xdr:from>
    <xdr:to>
      <xdr:col>7</xdr:col>
      <xdr:colOff>-363960</xdr:colOff>
      <xdr:row>468</xdr:row>
      <xdr:rowOff>0</xdr:rowOff>
    </xdr:to>
    <xdr:sp macro="" textlink="">
      <xdr:nvSpPr>
        <xdr:cNvPr id="2237" name="Option Button 2236">
          <a:extLst>
            <a:ext uri="{FF2B5EF4-FFF2-40B4-BE49-F238E27FC236}">
              <a16:creationId xmlns:a16="http://schemas.microsoft.com/office/drawing/2014/main" id="{00000000-0008-0000-3200-0000B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8" name="Option Button 2237">
          <a:extLst>
            <a:ext uri="{FF2B5EF4-FFF2-40B4-BE49-F238E27FC236}">
              <a16:creationId xmlns:a16="http://schemas.microsoft.com/office/drawing/2014/main" id="{00000000-0008-0000-3200-0000B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9" name="Option Button 2238">
          <a:extLst>
            <a:ext uri="{FF2B5EF4-FFF2-40B4-BE49-F238E27FC236}">
              <a16:creationId xmlns:a16="http://schemas.microsoft.com/office/drawing/2014/main" id="{00000000-0008-0000-3200-0000B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0" name="Option Button 2239">
          <a:extLst>
            <a:ext uri="{FF2B5EF4-FFF2-40B4-BE49-F238E27FC236}">
              <a16:creationId xmlns:a16="http://schemas.microsoft.com/office/drawing/2014/main" id="{00000000-0008-0000-3200-0000C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1" name="Group Box 2240" descr="Group Box 5">
          <a:extLst>
            <a:ext uri="{FF2B5EF4-FFF2-40B4-BE49-F238E27FC236}">
              <a16:creationId xmlns:a16="http://schemas.microsoft.com/office/drawing/2014/main" id="{00000000-0008-0000-3200-0000C1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468</xdr:row>
      <xdr:rowOff>28440</xdr:rowOff>
    </xdr:from>
    <xdr:to>
      <xdr:col>7</xdr:col>
      <xdr:colOff>-363960</xdr:colOff>
      <xdr:row>469</xdr:row>
      <xdr:rowOff>0</xdr:rowOff>
    </xdr:to>
    <xdr:sp macro="" textlink="">
      <xdr:nvSpPr>
        <xdr:cNvPr id="2242" name="Option Button 2241">
          <a:extLst>
            <a:ext uri="{FF2B5EF4-FFF2-40B4-BE49-F238E27FC236}">
              <a16:creationId xmlns:a16="http://schemas.microsoft.com/office/drawing/2014/main" id="{00000000-0008-0000-3200-0000C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3" name="Option Button 2242">
          <a:extLst>
            <a:ext uri="{FF2B5EF4-FFF2-40B4-BE49-F238E27FC236}">
              <a16:creationId xmlns:a16="http://schemas.microsoft.com/office/drawing/2014/main" id="{00000000-0008-0000-3200-0000C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4" name="Option Button 2243">
          <a:extLst>
            <a:ext uri="{FF2B5EF4-FFF2-40B4-BE49-F238E27FC236}">
              <a16:creationId xmlns:a16="http://schemas.microsoft.com/office/drawing/2014/main" id="{00000000-0008-0000-3200-0000C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5" name="Option Button 2244">
          <a:extLst>
            <a:ext uri="{FF2B5EF4-FFF2-40B4-BE49-F238E27FC236}">
              <a16:creationId xmlns:a16="http://schemas.microsoft.com/office/drawing/2014/main" id="{00000000-0008-0000-3200-0000C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6" name="Group Box 2245" descr="Group Box 5">
          <a:extLst>
            <a:ext uri="{FF2B5EF4-FFF2-40B4-BE49-F238E27FC236}">
              <a16:creationId xmlns:a16="http://schemas.microsoft.com/office/drawing/2014/main" id="{00000000-0008-0000-3200-0000C6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469</xdr:row>
      <xdr:rowOff>28440</xdr:rowOff>
    </xdr:from>
    <xdr:to>
      <xdr:col>7</xdr:col>
      <xdr:colOff>-363960</xdr:colOff>
      <xdr:row>470</xdr:row>
      <xdr:rowOff>0</xdr:rowOff>
    </xdr:to>
    <xdr:sp macro="" textlink="">
      <xdr:nvSpPr>
        <xdr:cNvPr id="2247" name="Option Button 2246">
          <a:extLst>
            <a:ext uri="{FF2B5EF4-FFF2-40B4-BE49-F238E27FC236}">
              <a16:creationId xmlns:a16="http://schemas.microsoft.com/office/drawing/2014/main" id="{00000000-0008-0000-3200-0000C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8" name="Option Button 2247">
          <a:extLst>
            <a:ext uri="{FF2B5EF4-FFF2-40B4-BE49-F238E27FC236}">
              <a16:creationId xmlns:a16="http://schemas.microsoft.com/office/drawing/2014/main" id="{00000000-0008-0000-3200-0000C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9" name="Option Button 2248">
          <a:extLst>
            <a:ext uri="{FF2B5EF4-FFF2-40B4-BE49-F238E27FC236}">
              <a16:creationId xmlns:a16="http://schemas.microsoft.com/office/drawing/2014/main" id="{00000000-0008-0000-3200-0000C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0" name="Option Button 2249">
          <a:extLst>
            <a:ext uri="{FF2B5EF4-FFF2-40B4-BE49-F238E27FC236}">
              <a16:creationId xmlns:a16="http://schemas.microsoft.com/office/drawing/2014/main" id="{00000000-0008-0000-3200-0000C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1" name="Group Box 2250" descr="Group Box 5">
          <a:extLst>
            <a:ext uri="{FF2B5EF4-FFF2-40B4-BE49-F238E27FC236}">
              <a16:creationId xmlns:a16="http://schemas.microsoft.com/office/drawing/2014/main" id="{00000000-0008-0000-3200-0000CB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470</xdr:row>
      <xdr:rowOff>28440</xdr:rowOff>
    </xdr:from>
    <xdr:to>
      <xdr:col>7</xdr:col>
      <xdr:colOff>-363960</xdr:colOff>
      <xdr:row>471</xdr:row>
      <xdr:rowOff>0</xdr:rowOff>
    </xdr:to>
    <xdr:sp macro="" textlink="">
      <xdr:nvSpPr>
        <xdr:cNvPr id="2252" name="Option Button 2251">
          <a:extLst>
            <a:ext uri="{FF2B5EF4-FFF2-40B4-BE49-F238E27FC236}">
              <a16:creationId xmlns:a16="http://schemas.microsoft.com/office/drawing/2014/main" id="{00000000-0008-0000-3200-0000C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3" name="Option Button 2252">
          <a:extLst>
            <a:ext uri="{FF2B5EF4-FFF2-40B4-BE49-F238E27FC236}">
              <a16:creationId xmlns:a16="http://schemas.microsoft.com/office/drawing/2014/main" id="{00000000-0008-0000-3200-0000C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4" name="Option Button 2253">
          <a:extLst>
            <a:ext uri="{FF2B5EF4-FFF2-40B4-BE49-F238E27FC236}">
              <a16:creationId xmlns:a16="http://schemas.microsoft.com/office/drawing/2014/main" id="{00000000-0008-0000-3200-0000C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5" name="Option Button 2254">
          <a:extLst>
            <a:ext uri="{FF2B5EF4-FFF2-40B4-BE49-F238E27FC236}">
              <a16:creationId xmlns:a16="http://schemas.microsoft.com/office/drawing/2014/main" id="{00000000-0008-0000-3200-0000C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6" name="Group Box 2255" descr="Group Box 5">
          <a:extLst>
            <a:ext uri="{FF2B5EF4-FFF2-40B4-BE49-F238E27FC236}">
              <a16:creationId xmlns:a16="http://schemas.microsoft.com/office/drawing/2014/main" id="{00000000-0008-0000-3200-0000D0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471</xdr:row>
      <xdr:rowOff>28440</xdr:rowOff>
    </xdr:from>
    <xdr:to>
      <xdr:col>7</xdr:col>
      <xdr:colOff>-363960</xdr:colOff>
      <xdr:row>472</xdr:row>
      <xdr:rowOff>0</xdr:rowOff>
    </xdr:to>
    <xdr:sp macro="" textlink="">
      <xdr:nvSpPr>
        <xdr:cNvPr id="2257" name="Option Button 2256">
          <a:extLst>
            <a:ext uri="{FF2B5EF4-FFF2-40B4-BE49-F238E27FC236}">
              <a16:creationId xmlns:a16="http://schemas.microsoft.com/office/drawing/2014/main" id="{00000000-0008-0000-3200-0000D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8" name="Option Button 2257">
          <a:extLst>
            <a:ext uri="{FF2B5EF4-FFF2-40B4-BE49-F238E27FC236}">
              <a16:creationId xmlns:a16="http://schemas.microsoft.com/office/drawing/2014/main" id="{00000000-0008-0000-3200-0000D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9" name="Option Button 2258">
          <a:extLst>
            <a:ext uri="{FF2B5EF4-FFF2-40B4-BE49-F238E27FC236}">
              <a16:creationId xmlns:a16="http://schemas.microsoft.com/office/drawing/2014/main" id="{00000000-0008-0000-3200-0000D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0" name="Option Button 2259">
          <a:extLst>
            <a:ext uri="{FF2B5EF4-FFF2-40B4-BE49-F238E27FC236}">
              <a16:creationId xmlns:a16="http://schemas.microsoft.com/office/drawing/2014/main" id="{00000000-0008-0000-3200-0000D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1" name="Group Box 2260" descr="Group Box 5">
          <a:extLst>
            <a:ext uri="{FF2B5EF4-FFF2-40B4-BE49-F238E27FC236}">
              <a16:creationId xmlns:a16="http://schemas.microsoft.com/office/drawing/2014/main" id="{00000000-0008-0000-3200-0000D5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472</xdr:row>
      <xdr:rowOff>28440</xdr:rowOff>
    </xdr:from>
    <xdr:to>
      <xdr:col>7</xdr:col>
      <xdr:colOff>-363960</xdr:colOff>
      <xdr:row>473</xdr:row>
      <xdr:rowOff>0</xdr:rowOff>
    </xdr:to>
    <xdr:sp macro="" textlink="">
      <xdr:nvSpPr>
        <xdr:cNvPr id="2262" name="Option Button 2261">
          <a:extLst>
            <a:ext uri="{FF2B5EF4-FFF2-40B4-BE49-F238E27FC236}">
              <a16:creationId xmlns:a16="http://schemas.microsoft.com/office/drawing/2014/main" id="{00000000-0008-0000-3200-0000D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3" name="Option Button 2262">
          <a:extLst>
            <a:ext uri="{FF2B5EF4-FFF2-40B4-BE49-F238E27FC236}">
              <a16:creationId xmlns:a16="http://schemas.microsoft.com/office/drawing/2014/main" id="{00000000-0008-0000-3200-0000D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4" name="Option Button 2263">
          <a:extLst>
            <a:ext uri="{FF2B5EF4-FFF2-40B4-BE49-F238E27FC236}">
              <a16:creationId xmlns:a16="http://schemas.microsoft.com/office/drawing/2014/main" id="{00000000-0008-0000-3200-0000D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5" name="Option Button 2264">
          <a:extLst>
            <a:ext uri="{FF2B5EF4-FFF2-40B4-BE49-F238E27FC236}">
              <a16:creationId xmlns:a16="http://schemas.microsoft.com/office/drawing/2014/main" id="{00000000-0008-0000-3200-0000D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6" name="Group Box 2265" descr="Group Box 5">
          <a:extLst>
            <a:ext uri="{FF2B5EF4-FFF2-40B4-BE49-F238E27FC236}">
              <a16:creationId xmlns:a16="http://schemas.microsoft.com/office/drawing/2014/main" id="{00000000-0008-0000-3200-0000DA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473</xdr:row>
      <xdr:rowOff>28440</xdr:rowOff>
    </xdr:from>
    <xdr:to>
      <xdr:col>7</xdr:col>
      <xdr:colOff>-363960</xdr:colOff>
      <xdr:row>474</xdr:row>
      <xdr:rowOff>0</xdr:rowOff>
    </xdr:to>
    <xdr:sp macro="" textlink="">
      <xdr:nvSpPr>
        <xdr:cNvPr id="2267" name="Option Button 2266">
          <a:extLst>
            <a:ext uri="{FF2B5EF4-FFF2-40B4-BE49-F238E27FC236}">
              <a16:creationId xmlns:a16="http://schemas.microsoft.com/office/drawing/2014/main" id="{00000000-0008-0000-3200-0000D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8" name="Option Button 2267">
          <a:extLst>
            <a:ext uri="{FF2B5EF4-FFF2-40B4-BE49-F238E27FC236}">
              <a16:creationId xmlns:a16="http://schemas.microsoft.com/office/drawing/2014/main" id="{00000000-0008-0000-3200-0000D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9" name="Option Button 2268">
          <a:extLst>
            <a:ext uri="{FF2B5EF4-FFF2-40B4-BE49-F238E27FC236}">
              <a16:creationId xmlns:a16="http://schemas.microsoft.com/office/drawing/2014/main" id="{00000000-0008-0000-3200-0000D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0" name="Option Button 2269">
          <a:extLst>
            <a:ext uri="{FF2B5EF4-FFF2-40B4-BE49-F238E27FC236}">
              <a16:creationId xmlns:a16="http://schemas.microsoft.com/office/drawing/2014/main" id="{00000000-0008-0000-3200-0000D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1" name="Group Box 2270" descr="Group Box 5">
          <a:extLst>
            <a:ext uri="{FF2B5EF4-FFF2-40B4-BE49-F238E27FC236}">
              <a16:creationId xmlns:a16="http://schemas.microsoft.com/office/drawing/2014/main" id="{00000000-0008-0000-3200-0000DF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474</xdr:row>
      <xdr:rowOff>28440</xdr:rowOff>
    </xdr:from>
    <xdr:to>
      <xdr:col>7</xdr:col>
      <xdr:colOff>-363960</xdr:colOff>
      <xdr:row>475</xdr:row>
      <xdr:rowOff>0</xdr:rowOff>
    </xdr:to>
    <xdr:sp macro="" textlink="">
      <xdr:nvSpPr>
        <xdr:cNvPr id="2272" name="Option Button 2271">
          <a:extLst>
            <a:ext uri="{FF2B5EF4-FFF2-40B4-BE49-F238E27FC236}">
              <a16:creationId xmlns:a16="http://schemas.microsoft.com/office/drawing/2014/main" id="{00000000-0008-0000-3200-0000E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3" name="Option Button 2272">
          <a:extLst>
            <a:ext uri="{FF2B5EF4-FFF2-40B4-BE49-F238E27FC236}">
              <a16:creationId xmlns:a16="http://schemas.microsoft.com/office/drawing/2014/main" id="{00000000-0008-0000-3200-0000E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4" name="Option Button 2273">
          <a:extLst>
            <a:ext uri="{FF2B5EF4-FFF2-40B4-BE49-F238E27FC236}">
              <a16:creationId xmlns:a16="http://schemas.microsoft.com/office/drawing/2014/main" id="{00000000-0008-0000-3200-0000E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5" name="Option Button 2274">
          <a:extLst>
            <a:ext uri="{FF2B5EF4-FFF2-40B4-BE49-F238E27FC236}">
              <a16:creationId xmlns:a16="http://schemas.microsoft.com/office/drawing/2014/main" id="{00000000-0008-0000-3200-0000E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6" name="Group Box 2275" descr="Group Box 5">
          <a:extLst>
            <a:ext uri="{FF2B5EF4-FFF2-40B4-BE49-F238E27FC236}">
              <a16:creationId xmlns:a16="http://schemas.microsoft.com/office/drawing/2014/main" id="{00000000-0008-0000-3200-0000E4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475</xdr:row>
      <xdr:rowOff>28440</xdr:rowOff>
    </xdr:from>
    <xdr:to>
      <xdr:col>7</xdr:col>
      <xdr:colOff>-363960</xdr:colOff>
      <xdr:row>476</xdr:row>
      <xdr:rowOff>0</xdr:rowOff>
    </xdr:to>
    <xdr:sp macro="" textlink="">
      <xdr:nvSpPr>
        <xdr:cNvPr id="2277" name="Option Button 2276">
          <a:extLst>
            <a:ext uri="{FF2B5EF4-FFF2-40B4-BE49-F238E27FC236}">
              <a16:creationId xmlns:a16="http://schemas.microsoft.com/office/drawing/2014/main" id="{00000000-0008-0000-3200-0000E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8" name="Option Button 2277">
          <a:extLst>
            <a:ext uri="{FF2B5EF4-FFF2-40B4-BE49-F238E27FC236}">
              <a16:creationId xmlns:a16="http://schemas.microsoft.com/office/drawing/2014/main" id="{00000000-0008-0000-3200-0000E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9" name="Option Button 2278">
          <a:extLst>
            <a:ext uri="{FF2B5EF4-FFF2-40B4-BE49-F238E27FC236}">
              <a16:creationId xmlns:a16="http://schemas.microsoft.com/office/drawing/2014/main" id="{00000000-0008-0000-3200-0000E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0" name="Option Button 2279">
          <a:extLst>
            <a:ext uri="{FF2B5EF4-FFF2-40B4-BE49-F238E27FC236}">
              <a16:creationId xmlns:a16="http://schemas.microsoft.com/office/drawing/2014/main" id="{00000000-0008-0000-3200-0000E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1" name="Group Box 2280" descr="Group Box 5">
          <a:extLst>
            <a:ext uri="{FF2B5EF4-FFF2-40B4-BE49-F238E27FC236}">
              <a16:creationId xmlns:a16="http://schemas.microsoft.com/office/drawing/2014/main" id="{00000000-0008-0000-3200-0000E9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476</xdr:row>
      <xdr:rowOff>28440</xdr:rowOff>
    </xdr:from>
    <xdr:to>
      <xdr:col>7</xdr:col>
      <xdr:colOff>-363960</xdr:colOff>
      <xdr:row>477</xdr:row>
      <xdr:rowOff>0</xdr:rowOff>
    </xdr:to>
    <xdr:sp macro="" textlink="">
      <xdr:nvSpPr>
        <xdr:cNvPr id="2282" name="Option Button 2281">
          <a:extLst>
            <a:ext uri="{FF2B5EF4-FFF2-40B4-BE49-F238E27FC236}">
              <a16:creationId xmlns:a16="http://schemas.microsoft.com/office/drawing/2014/main" id="{00000000-0008-0000-3200-0000E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3" name="Option Button 2282">
          <a:extLst>
            <a:ext uri="{FF2B5EF4-FFF2-40B4-BE49-F238E27FC236}">
              <a16:creationId xmlns:a16="http://schemas.microsoft.com/office/drawing/2014/main" id="{00000000-0008-0000-3200-0000E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4" name="Option Button 2283">
          <a:extLst>
            <a:ext uri="{FF2B5EF4-FFF2-40B4-BE49-F238E27FC236}">
              <a16:creationId xmlns:a16="http://schemas.microsoft.com/office/drawing/2014/main" id="{00000000-0008-0000-3200-0000E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5" name="Option Button 2284">
          <a:extLst>
            <a:ext uri="{FF2B5EF4-FFF2-40B4-BE49-F238E27FC236}">
              <a16:creationId xmlns:a16="http://schemas.microsoft.com/office/drawing/2014/main" id="{00000000-0008-0000-3200-0000E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6" name="Group Box 2285" descr="Group Box 5">
          <a:extLst>
            <a:ext uri="{FF2B5EF4-FFF2-40B4-BE49-F238E27FC236}">
              <a16:creationId xmlns:a16="http://schemas.microsoft.com/office/drawing/2014/main" id="{00000000-0008-0000-3200-0000EE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477</xdr:row>
      <xdr:rowOff>28440</xdr:rowOff>
    </xdr:from>
    <xdr:to>
      <xdr:col>7</xdr:col>
      <xdr:colOff>-363960</xdr:colOff>
      <xdr:row>478</xdr:row>
      <xdr:rowOff>0</xdr:rowOff>
    </xdr:to>
    <xdr:sp macro="" textlink="">
      <xdr:nvSpPr>
        <xdr:cNvPr id="2287" name="Option Button 2286">
          <a:extLst>
            <a:ext uri="{FF2B5EF4-FFF2-40B4-BE49-F238E27FC236}">
              <a16:creationId xmlns:a16="http://schemas.microsoft.com/office/drawing/2014/main" id="{00000000-0008-0000-3200-0000E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8" name="Option Button 2287">
          <a:extLst>
            <a:ext uri="{FF2B5EF4-FFF2-40B4-BE49-F238E27FC236}">
              <a16:creationId xmlns:a16="http://schemas.microsoft.com/office/drawing/2014/main" id="{00000000-0008-0000-3200-0000F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9" name="Option Button 2288">
          <a:extLst>
            <a:ext uri="{FF2B5EF4-FFF2-40B4-BE49-F238E27FC236}">
              <a16:creationId xmlns:a16="http://schemas.microsoft.com/office/drawing/2014/main" id="{00000000-0008-0000-3200-0000F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0" name="Option Button 2289">
          <a:extLst>
            <a:ext uri="{FF2B5EF4-FFF2-40B4-BE49-F238E27FC236}">
              <a16:creationId xmlns:a16="http://schemas.microsoft.com/office/drawing/2014/main" id="{00000000-0008-0000-3200-0000F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1" name="Group Box 2290" descr="Group Box 5">
          <a:extLst>
            <a:ext uri="{FF2B5EF4-FFF2-40B4-BE49-F238E27FC236}">
              <a16:creationId xmlns:a16="http://schemas.microsoft.com/office/drawing/2014/main" id="{00000000-0008-0000-3200-0000F3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478</xdr:row>
      <xdr:rowOff>28440</xdr:rowOff>
    </xdr:from>
    <xdr:to>
      <xdr:col>7</xdr:col>
      <xdr:colOff>-363960</xdr:colOff>
      <xdr:row>479</xdr:row>
      <xdr:rowOff>0</xdr:rowOff>
    </xdr:to>
    <xdr:sp macro="" textlink="">
      <xdr:nvSpPr>
        <xdr:cNvPr id="2292" name="Option Button 2291">
          <a:extLst>
            <a:ext uri="{FF2B5EF4-FFF2-40B4-BE49-F238E27FC236}">
              <a16:creationId xmlns:a16="http://schemas.microsoft.com/office/drawing/2014/main" id="{00000000-0008-0000-3200-0000F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3" name="Option Button 2292">
          <a:extLst>
            <a:ext uri="{FF2B5EF4-FFF2-40B4-BE49-F238E27FC236}">
              <a16:creationId xmlns:a16="http://schemas.microsoft.com/office/drawing/2014/main" id="{00000000-0008-0000-3200-0000F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4" name="Option Button 2293">
          <a:extLst>
            <a:ext uri="{FF2B5EF4-FFF2-40B4-BE49-F238E27FC236}">
              <a16:creationId xmlns:a16="http://schemas.microsoft.com/office/drawing/2014/main" id="{00000000-0008-0000-3200-0000F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5" name="Option Button 2294">
          <a:extLst>
            <a:ext uri="{FF2B5EF4-FFF2-40B4-BE49-F238E27FC236}">
              <a16:creationId xmlns:a16="http://schemas.microsoft.com/office/drawing/2014/main" id="{00000000-0008-0000-3200-0000F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6" name="Group Box 2295" descr="Group Box 5">
          <a:extLst>
            <a:ext uri="{FF2B5EF4-FFF2-40B4-BE49-F238E27FC236}">
              <a16:creationId xmlns:a16="http://schemas.microsoft.com/office/drawing/2014/main" id="{00000000-0008-0000-3200-0000F8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479</xdr:row>
      <xdr:rowOff>28440</xdr:rowOff>
    </xdr:from>
    <xdr:to>
      <xdr:col>7</xdr:col>
      <xdr:colOff>-363960</xdr:colOff>
      <xdr:row>480</xdr:row>
      <xdr:rowOff>0</xdr:rowOff>
    </xdr:to>
    <xdr:sp macro="" textlink="">
      <xdr:nvSpPr>
        <xdr:cNvPr id="2297" name="Option Button 2296">
          <a:extLst>
            <a:ext uri="{FF2B5EF4-FFF2-40B4-BE49-F238E27FC236}">
              <a16:creationId xmlns:a16="http://schemas.microsoft.com/office/drawing/2014/main" id="{00000000-0008-0000-3200-0000F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8" name="Option Button 2297">
          <a:extLst>
            <a:ext uri="{FF2B5EF4-FFF2-40B4-BE49-F238E27FC236}">
              <a16:creationId xmlns:a16="http://schemas.microsoft.com/office/drawing/2014/main" id="{00000000-0008-0000-3200-0000F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9" name="Option Button 2298">
          <a:extLst>
            <a:ext uri="{FF2B5EF4-FFF2-40B4-BE49-F238E27FC236}">
              <a16:creationId xmlns:a16="http://schemas.microsoft.com/office/drawing/2014/main" id="{00000000-0008-0000-3200-0000F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0" name="Option Button 2299">
          <a:extLst>
            <a:ext uri="{FF2B5EF4-FFF2-40B4-BE49-F238E27FC236}">
              <a16:creationId xmlns:a16="http://schemas.microsoft.com/office/drawing/2014/main" id="{00000000-0008-0000-3200-0000F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1" name="Group Box 2300" descr="Group Box 5">
          <a:extLst>
            <a:ext uri="{FF2B5EF4-FFF2-40B4-BE49-F238E27FC236}">
              <a16:creationId xmlns:a16="http://schemas.microsoft.com/office/drawing/2014/main" id="{00000000-0008-0000-3200-0000FD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480</xdr:row>
      <xdr:rowOff>28440</xdr:rowOff>
    </xdr:from>
    <xdr:to>
      <xdr:col>7</xdr:col>
      <xdr:colOff>-363960</xdr:colOff>
      <xdr:row>481</xdr:row>
      <xdr:rowOff>0</xdr:rowOff>
    </xdr:to>
    <xdr:sp macro="" textlink="">
      <xdr:nvSpPr>
        <xdr:cNvPr id="2302" name="Option Button 2301">
          <a:extLst>
            <a:ext uri="{FF2B5EF4-FFF2-40B4-BE49-F238E27FC236}">
              <a16:creationId xmlns:a16="http://schemas.microsoft.com/office/drawing/2014/main" id="{00000000-0008-0000-3200-0000F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3" name="Option Button 2302">
          <a:extLst>
            <a:ext uri="{FF2B5EF4-FFF2-40B4-BE49-F238E27FC236}">
              <a16:creationId xmlns:a16="http://schemas.microsoft.com/office/drawing/2014/main" id="{00000000-0008-0000-3200-0000F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4" name="Option Button 2303">
          <a:extLst>
            <a:ext uri="{FF2B5EF4-FFF2-40B4-BE49-F238E27FC236}">
              <a16:creationId xmlns:a16="http://schemas.microsoft.com/office/drawing/2014/main" id="{00000000-0008-0000-3200-00000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5" name="Option Button 2304">
          <a:extLst>
            <a:ext uri="{FF2B5EF4-FFF2-40B4-BE49-F238E27FC236}">
              <a16:creationId xmlns:a16="http://schemas.microsoft.com/office/drawing/2014/main" id="{00000000-0008-0000-3200-00000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6" name="Group Box 2305" descr="Group Box 5">
          <a:extLst>
            <a:ext uri="{FF2B5EF4-FFF2-40B4-BE49-F238E27FC236}">
              <a16:creationId xmlns:a16="http://schemas.microsoft.com/office/drawing/2014/main" id="{00000000-0008-0000-3200-000002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481</xdr:row>
      <xdr:rowOff>28440</xdr:rowOff>
    </xdr:from>
    <xdr:to>
      <xdr:col>7</xdr:col>
      <xdr:colOff>-363960</xdr:colOff>
      <xdr:row>482</xdr:row>
      <xdr:rowOff>0</xdr:rowOff>
    </xdr:to>
    <xdr:sp macro="" textlink="">
      <xdr:nvSpPr>
        <xdr:cNvPr id="2307" name="Option Button 2306">
          <a:extLst>
            <a:ext uri="{FF2B5EF4-FFF2-40B4-BE49-F238E27FC236}">
              <a16:creationId xmlns:a16="http://schemas.microsoft.com/office/drawing/2014/main" id="{00000000-0008-0000-3200-00000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8" name="Option Button 2307">
          <a:extLst>
            <a:ext uri="{FF2B5EF4-FFF2-40B4-BE49-F238E27FC236}">
              <a16:creationId xmlns:a16="http://schemas.microsoft.com/office/drawing/2014/main" id="{00000000-0008-0000-3200-00000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9" name="Option Button 2308">
          <a:extLst>
            <a:ext uri="{FF2B5EF4-FFF2-40B4-BE49-F238E27FC236}">
              <a16:creationId xmlns:a16="http://schemas.microsoft.com/office/drawing/2014/main" id="{00000000-0008-0000-3200-00000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0" name="Option Button 2309">
          <a:extLst>
            <a:ext uri="{FF2B5EF4-FFF2-40B4-BE49-F238E27FC236}">
              <a16:creationId xmlns:a16="http://schemas.microsoft.com/office/drawing/2014/main" id="{00000000-0008-0000-3200-00000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1" name="Group Box 2310" descr="Group Box 5">
          <a:extLst>
            <a:ext uri="{FF2B5EF4-FFF2-40B4-BE49-F238E27FC236}">
              <a16:creationId xmlns:a16="http://schemas.microsoft.com/office/drawing/2014/main" id="{00000000-0008-0000-3200-000007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482</xdr:row>
      <xdr:rowOff>28440</xdr:rowOff>
    </xdr:from>
    <xdr:to>
      <xdr:col>7</xdr:col>
      <xdr:colOff>-363960</xdr:colOff>
      <xdr:row>483</xdr:row>
      <xdr:rowOff>0</xdr:rowOff>
    </xdr:to>
    <xdr:sp macro="" textlink="">
      <xdr:nvSpPr>
        <xdr:cNvPr id="2312" name="Option Button 2311">
          <a:extLst>
            <a:ext uri="{FF2B5EF4-FFF2-40B4-BE49-F238E27FC236}">
              <a16:creationId xmlns:a16="http://schemas.microsoft.com/office/drawing/2014/main" id="{00000000-0008-0000-3200-00000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3" name="Option Button 2312">
          <a:extLst>
            <a:ext uri="{FF2B5EF4-FFF2-40B4-BE49-F238E27FC236}">
              <a16:creationId xmlns:a16="http://schemas.microsoft.com/office/drawing/2014/main" id="{00000000-0008-0000-3200-00000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4" name="Option Button 2313">
          <a:extLst>
            <a:ext uri="{FF2B5EF4-FFF2-40B4-BE49-F238E27FC236}">
              <a16:creationId xmlns:a16="http://schemas.microsoft.com/office/drawing/2014/main" id="{00000000-0008-0000-3200-00000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5" name="Option Button 2314">
          <a:extLst>
            <a:ext uri="{FF2B5EF4-FFF2-40B4-BE49-F238E27FC236}">
              <a16:creationId xmlns:a16="http://schemas.microsoft.com/office/drawing/2014/main" id="{00000000-0008-0000-3200-00000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6" name="Group Box 2315" descr="Group Box 5">
          <a:extLst>
            <a:ext uri="{FF2B5EF4-FFF2-40B4-BE49-F238E27FC236}">
              <a16:creationId xmlns:a16="http://schemas.microsoft.com/office/drawing/2014/main" id="{00000000-0008-0000-3200-00000C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483</xdr:row>
      <xdr:rowOff>28440</xdr:rowOff>
    </xdr:from>
    <xdr:to>
      <xdr:col>7</xdr:col>
      <xdr:colOff>-363960</xdr:colOff>
      <xdr:row>484</xdr:row>
      <xdr:rowOff>0</xdr:rowOff>
    </xdr:to>
    <xdr:sp macro="" textlink="">
      <xdr:nvSpPr>
        <xdr:cNvPr id="2317" name="Option Button 2316">
          <a:extLst>
            <a:ext uri="{FF2B5EF4-FFF2-40B4-BE49-F238E27FC236}">
              <a16:creationId xmlns:a16="http://schemas.microsoft.com/office/drawing/2014/main" id="{00000000-0008-0000-3200-00000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8" name="Option Button 2317">
          <a:extLst>
            <a:ext uri="{FF2B5EF4-FFF2-40B4-BE49-F238E27FC236}">
              <a16:creationId xmlns:a16="http://schemas.microsoft.com/office/drawing/2014/main" id="{00000000-0008-0000-3200-00000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9" name="Option Button 2318">
          <a:extLst>
            <a:ext uri="{FF2B5EF4-FFF2-40B4-BE49-F238E27FC236}">
              <a16:creationId xmlns:a16="http://schemas.microsoft.com/office/drawing/2014/main" id="{00000000-0008-0000-3200-00000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0" name="Option Button 2319">
          <a:extLst>
            <a:ext uri="{FF2B5EF4-FFF2-40B4-BE49-F238E27FC236}">
              <a16:creationId xmlns:a16="http://schemas.microsoft.com/office/drawing/2014/main" id="{00000000-0008-0000-3200-00001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1" name="Group Box 2320" descr="Group Box 5">
          <a:extLst>
            <a:ext uri="{FF2B5EF4-FFF2-40B4-BE49-F238E27FC236}">
              <a16:creationId xmlns:a16="http://schemas.microsoft.com/office/drawing/2014/main" id="{00000000-0008-0000-3200-000011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484</xdr:row>
      <xdr:rowOff>28440</xdr:rowOff>
    </xdr:from>
    <xdr:to>
      <xdr:col>7</xdr:col>
      <xdr:colOff>-363960</xdr:colOff>
      <xdr:row>485</xdr:row>
      <xdr:rowOff>0</xdr:rowOff>
    </xdr:to>
    <xdr:sp macro="" textlink="">
      <xdr:nvSpPr>
        <xdr:cNvPr id="2322" name="Option Button 2321">
          <a:extLst>
            <a:ext uri="{FF2B5EF4-FFF2-40B4-BE49-F238E27FC236}">
              <a16:creationId xmlns:a16="http://schemas.microsoft.com/office/drawing/2014/main" id="{00000000-0008-0000-3200-00001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3" name="Option Button 2322">
          <a:extLst>
            <a:ext uri="{FF2B5EF4-FFF2-40B4-BE49-F238E27FC236}">
              <a16:creationId xmlns:a16="http://schemas.microsoft.com/office/drawing/2014/main" id="{00000000-0008-0000-3200-00001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4" name="Option Button 2323">
          <a:extLst>
            <a:ext uri="{FF2B5EF4-FFF2-40B4-BE49-F238E27FC236}">
              <a16:creationId xmlns:a16="http://schemas.microsoft.com/office/drawing/2014/main" id="{00000000-0008-0000-3200-00001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5" name="Option Button 2324">
          <a:extLst>
            <a:ext uri="{FF2B5EF4-FFF2-40B4-BE49-F238E27FC236}">
              <a16:creationId xmlns:a16="http://schemas.microsoft.com/office/drawing/2014/main" id="{00000000-0008-0000-3200-00001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6" name="Group Box 2325" descr="Group Box 5">
          <a:extLst>
            <a:ext uri="{FF2B5EF4-FFF2-40B4-BE49-F238E27FC236}">
              <a16:creationId xmlns:a16="http://schemas.microsoft.com/office/drawing/2014/main" id="{00000000-0008-0000-3200-000016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485</xdr:row>
      <xdr:rowOff>28440</xdr:rowOff>
    </xdr:from>
    <xdr:to>
      <xdr:col>7</xdr:col>
      <xdr:colOff>-363960</xdr:colOff>
      <xdr:row>486</xdr:row>
      <xdr:rowOff>0</xdr:rowOff>
    </xdr:to>
    <xdr:sp macro="" textlink="">
      <xdr:nvSpPr>
        <xdr:cNvPr id="2327" name="Option Button 2326">
          <a:extLst>
            <a:ext uri="{FF2B5EF4-FFF2-40B4-BE49-F238E27FC236}">
              <a16:creationId xmlns:a16="http://schemas.microsoft.com/office/drawing/2014/main" id="{00000000-0008-0000-3200-00001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8" name="Option Button 2327">
          <a:extLst>
            <a:ext uri="{FF2B5EF4-FFF2-40B4-BE49-F238E27FC236}">
              <a16:creationId xmlns:a16="http://schemas.microsoft.com/office/drawing/2014/main" id="{00000000-0008-0000-3200-00001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9" name="Option Button 2328">
          <a:extLst>
            <a:ext uri="{FF2B5EF4-FFF2-40B4-BE49-F238E27FC236}">
              <a16:creationId xmlns:a16="http://schemas.microsoft.com/office/drawing/2014/main" id="{00000000-0008-0000-3200-00001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0" name="Option Button 2329">
          <a:extLst>
            <a:ext uri="{FF2B5EF4-FFF2-40B4-BE49-F238E27FC236}">
              <a16:creationId xmlns:a16="http://schemas.microsoft.com/office/drawing/2014/main" id="{00000000-0008-0000-3200-00001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1" name="Group Box 2330" descr="Group Box 5">
          <a:extLst>
            <a:ext uri="{FF2B5EF4-FFF2-40B4-BE49-F238E27FC236}">
              <a16:creationId xmlns:a16="http://schemas.microsoft.com/office/drawing/2014/main" id="{00000000-0008-0000-3200-00001B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486</xdr:row>
      <xdr:rowOff>28440</xdr:rowOff>
    </xdr:from>
    <xdr:to>
      <xdr:col>7</xdr:col>
      <xdr:colOff>-363960</xdr:colOff>
      <xdr:row>487</xdr:row>
      <xdr:rowOff>0</xdr:rowOff>
    </xdr:to>
    <xdr:sp macro="" textlink="">
      <xdr:nvSpPr>
        <xdr:cNvPr id="2332" name="Option Button 2331">
          <a:extLst>
            <a:ext uri="{FF2B5EF4-FFF2-40B4-BE49-F238E27FC236}">
              <a16:creationId xmlns:a16="http://schemas.microsoft.com/office/drawing/2014/main" id="{00000000-0008-0000-3200-00001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3" name="Option Button 2332">
          <a:extLst>
            <a:ext uri="{FF2B5EF4-FFF2-40B4-BE49-F238E27FC236}">
              <a16:creationId xmlns:a16="http://schemas.microsoft.com/office/drawing/2014/main" id="{00000000-0008-0000-3200-00001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4" name="Option Button 2333">
          <a:extLst>
            <a:ext uri="{FF2B5EF4-FFF2-40B4-BE49-F238E27FC236}">
              <a16:creationId xmlns:a16="http://schemas.microsoft.com/office/drawing/2014/main" id="{00000000-0008-0000-3200-00001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5" name="Option Button 2334">
          <a:extLst>
            <a:ext uri="{FF2B5EF4-FFF2-40B4-BE49-F238E27FC236}">
              <a16:creationId xmlns:a16="http://schemas.microsoft.com/office/drawing/2014/main" id="{00000000-0008-0000-3200-00001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6" name="Group Box 2335" descr="Group Box 5">
          <a:extLst>
            <a:ext uri="{FF2B5EF4-FFF2-40B4-BE49-F238E27FC236}">
              <a16:creationId xmlns:a16="http://schemas.microsoft.com/office/drawing/2014/main" id="{00000000-0008-0000-3200-000020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487</xdr:row>
      <xdr:rowOff>28440</xdr:rowOff>
    </xdr:from>
    <xdr:to>
      <xdr:col>7</xdr:col>
      <xdr:colOff>-363960</xdr:colOff>
      <xdr:row>488</xdr:row>
      <xdr:rowOff>0</xdr:rowOff>
    </xdr:to>
    <xdr:sp macro="" textlink="">
      <xdr:nvSpPr>
        <xdr:cNvPr id="2337" name="Option Button 2336">
          <a:extLst>
            <a:ext uri="{FF2B5EF4-FFF2-40B4-BE49-F238E27FC236}">
              <a16:creationId xmlns:a16="http://schemas.microsoft.com/office/drawing/2014/main" id="{00000000-0008-0000-3200-00002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8" name="Option Button 2337">
          <a:extLst>
            <a:ext uri="{FF2B5EF4-FFF2-40B4-BE49-F238E27FC236}">
              <a16:creationId xmlns:a16="http://schemas.microsoft.com/office/drawing/2014/main" id="{00000000-0008-0000-3200-00002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9" name="Option Button 2338">
          <a:extLst>
            <a:ext uri="{FF2B5EF4-FFF2-40B4-BE49-F238E27FC236}">
              <a16:creationId xmlns:a16="http://schemas.microsoft.com/office/drawing/2014/main" id="{00000000-0008-0000-3200-00002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0" name="Option Button 2339">
          <a:extLst>
            <a:ext uri="{FF2B5EF4-FFF2-40B4-BE49-F238E27FC236}">
              <a16:creationId xmlns:a16="http://schemas.microsoft.com/office/drawing/2014/main" id="{00000000-0008-0000-3200-00002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1" name="Group Box 2340" descr="Group Box 5">
          <a:extLst>
            <a:ext uri="{FF2B5EF4-FFF2-40B4-BE49-F238E27FC236}">
              <a16:creationId xmlns:a16="http://schemas.microsoft.com/office/drawing/2014/main" id="{00000000-0008-0000-3200-000025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488</xdr:row>
      <xdr:rowOff>28440</xdr:rowOff>
    </xdr:from>
    <xdr:to>
      <xdr:col>7</xdr:col>
      <xdr:colOff>-363960</xdr:colOff>
      <xdr:row>489</xdr:row>
      <xdr:rowOff>0</xdr:rowOff>
    </xdr:to>
    <xdr:sp macro="" textlink="">
      <xdr:nvSpPr>
        <xdr:cNvPr id="2342" name="Option Button 2341">
          <a:extLst>
            <a:ext uri="{FF2B5EF4-FFF2-40B4-BE49-F238E27FC236}">
              <a16:creationId xmlns:a16="http://schemas.microsoft.com/office/drawing/2014/main" id="{00000000-0008-0000-3200-00002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3" name="Option Button 2342">
          <a:extLst>
            <a:ext uri="{FF2B5EF4-FFF2-40B4-BE49-F238E27FC236}">
              <a16:creationId xmlns:a16="http://schemas.microsoft.com/office/drawing/2014/main" id="{00000000-0008-0000-3200-00002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4" name="Option Button 2343">
          <a:extLst>
            <a:ext uri="{FF2B5EF4-FFF2-40B4-BE49-F238E27FC236}">
              <a16:creationId xmlns:a16="http://schemas.microsoft.com/office/drawing/2014/main" id="{00000000-0008-0000-3200-00002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5" name="Option Button 2344">
          <a:extLst>
            <a:ext uri="{FF2B5EF4-FFF2-40B4-BE49-F238E27FC236}">
              <a16:creationId xmlns:a16="http://schemas.microsoft.com/office/drawing/2014/main" id="{00000000-0008-0000-3200-00002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6" name="Group Box 2345" descr="Group Box 5">
          <a:extLst>
            <a:ext uri="{FF2B5EF4-FFF2-40B4-BE49-F238E27FC236}">
              <a16:creationId xmlns:a16="http://schemas.microsoft.com/office/drawing/2014/main" id="{00000000-0008-0000-3200-00002A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489</xdr:row>
      <xdr:rowOff>28440</xdr:rowOff>
    </xdr:from>
    <xdr:to>
      <xdr:col>7</xdr:col>
      <xdr:colOff>-363960</xdr:colOff>
      <xdr:row>490</xdr:row>
      <xdr:rowOff>0</xdr:rowOff>
    </xdr:to>
    <xdr:sp macro="" textlink="">
      <xdr:nvSpPr>
        <xdr:cNvPr id="2347" name="Option Button 2346">
          <a:extLst>
            <a:ext uri="{FF2B5EF4-FFF2-40B4-BE49-F238E27FC236}">
              <a16:creationId xmlns:a16="http://schemas.microsoft.com/office/drawing/2014/main" id="{00000000-0008-0000-3200-00002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8" name="Option Button 2347">
          <a:extLst>
            <a:ext uri="{FF2B5EF4-FFF2-40B4-BE49-F238E27FC236}">
              <a16:creationId xmlns:a16="http://schemas.microsoft.com/office/drawing/2014/main" id="{00000000-0008-0000-3200-00002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9" name="Option Button 2348">
          <a:extLst>
            <a:ext uri="{FF2B5EF4-FFF2-40B4-BE49-F238E27FC236}">
              <a16:creationId xmlns:a16="http://schemas.microsoft.com/office/drawing/2014/main" id="{00000000-0008-0000-3200-00002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0" name="Option Button 2349">
          <a:extLst>
            <a:ext uri="{FF2B5EF4-FFF2-40B4-BE49-F238E27FC236}">
              <a16:creationId xmlns:a16="http://schemas.microsoft.com/office/drawing/2014/main" id="{00000000-0008-0000-3200-00002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1" name="Group Box 2350" descr="Group Box 5">
          <a:extLst>
            <a:ext uri="{FF2B5EF4-FFF2-40B4-BE49-F238E27FC236}">
              <a16:creationId xmlns:a16="http://schemas.microsoft.com/office/drawing/2014/main" id="{00000000-0008-0000-3200-00002F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490</xdr:row>
      <xdr:rowOff>28440</xdr:rowOff>
    </xdr:from>
    <xdr:to>
      <xdr:col>7</xdr:col>
      <xdr:colOff>-363960</xdr:colOff>
      <xdr:row>491</xdr:row>
      <xdr:rowOff>0</xdr:rowOff>
    </xdr:to>
    <xdr:sp macro="" textlink="">
      <xdr:nvSpPr>
        <xdr:cNvPr id="2352" name="Option Button 2351">
          <a:extLst>
            <a:ext uri="{FF2B5EF4-FFF2-40B4-BE49-F238E27FC236}">
              <a16:creationId xmlns:a16="http://schemas.microsoft.com/office/drawing/2014/main" id="{00000000-0008-0000-3200-00003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3" name="Option Button 2352">
          <a:extLst>
            <a:ext uri="{FF2B5EF4-FFF2-40B4-BE49-F238E27FC236}">
              <a16:creationId xmlns:a16="http://schemas.microsoft.com/office/drawing/2014/main" id="{00000000-0008-0000-3200-00003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4" name="Option Button 2353">
          <a:extLst>
            <a:ext uri="{FF2B5EF4-FFF2-40B4-BE49-F238E27FC236}">
              <a16:creationId xmlns:a16="http://schemas.microsoft.com/office/drawing/2014/main" id="{00000000-0008-0000-3200-00003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5" name="Option Button 2354">
          <a:extLst>
            <a:ext uri="{FF2B5EF4-FFF2-40B4-BE49-F238E27FC236}">
              <a16:creationId xmlns:a16="http://schemas.microsoft.com/office/drawing/2014/main" id="{00000000-0008-0000-3200-00003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6" name="Group Box 2355" descr="Group Box 5">
          <a:extLst>
            <a:ext uri="{FF2B5EF4-FFF2-40B4-BE49-F238E27FC236}">
              <a16:creationId xmlns:a16="http://schemas.microsoft.com/office/drawing/2014/main" id="{00000000-0008-0000-3200-000034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491</xdr:row>
      <xdr:rowOff>28440</xdr:rowOff>
    </xdr:from>
    <xdr:to>
      <xdr:col>7</xdr:col>
      <xdr:colOff>-363960</xdr:colOff>
      <xdr:row>492</xdr:row>
      <xdr:rowOff>0</xdr:rowOff>
    </xdr:to>
    <xdr:sp macro="" textlink="">
      <xdr:nvSpPr>
        <xdr:cNvPr id="2357" name="Option Button 2356">
          <a:extLst>
            <a:ext uri="{FF2B5EF4-FFF2-40B4-BE49-F238E27FC236}">
              <a16:creationId xmlns:a16="http://schemas.microsoft.com/office/drawing/2014/main" id="{00000000-0008-0000-3200-00003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8" name="Option Button 2357">
          <a:extLst>
            <a:ext uri="{FF2B5EF4-FFF2-40B4-BE49-F238E27FC236}">
              <a16:creationId xmlns:a16="http://schemas.microsoft.com/office/drawing/2014/main" id="{00000000-0008-0000-3200-00003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9" name="Option Button 2358">
          <a:extLst>
            <a:ext uri="{FF2B5EF4-FFF2-40B4-BE49-F238E27FC236}">
              <a16:creationId xmlns:a16="http://schemas.microsoft.com/office/drawing/2014/main" id="{00000000-0008-0000-3200-00003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0" name="Option Button 2359">
          <a:extLst>
            <a:ext uri="{FF2B5EF4-FFF2-40B4-BE49-F238E27FC236}">
              <a16:creationId xmlns:a16="http://schemas.microsoft.com/office/drawing/2014/main" id="{00000000-0008-0000-3200-00003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1" name="Group Box 2360" descr="Group Box 5">
          <a:extLst>
            <a:ext uri="{FF2B5EF4-FFF2-40B4-BE49-F238E27FC236}">
              <a16:creationId xmlns:a16="http://schemas.microsoft.com/office/drawing/2014/main" id="{00000000-0008-0000-3200-000039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492</xdr:row>
      <xdr:rowOff>28440</xdr:rowOff>
    </xdr:from>
    <xdr:to>
      <xdr:col>7</xdr:col>
      <xdr:colOff>-363960</xdr:colOff>
      <xdr:row>493</xdr:row>
      <xdr:rowOff>0</xdr:rowOff>
    </xdr:to>
    <xdr:sp macro="" textlink="">
      <xdr:nvSpPr>
        <xdr:cNvPr id="2362" name="Option Button 2361">
          <a:extLst>
            <a:ext uri="{FF2B5EF4-FFF2-40B4-BE49-F238E27FC236}">
              <a16:creationId xmlns:a16="http://schemas.microsoft.com/office/drawing/2014/main" id="{00000000-0008-0000-3200-00003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3" name="Option Button 2362">
          <a:extLst>
            <a:ext uri="{FF2B5EF4-FFF2-40B4-BE49-F238E27FC236}">
              <a16:creationId xmlns:a16="http://schemas.microsoft.com/office/drawing/2014/main" id="{00000000-0008-0000-3200-00003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4" name="Option Button 2363">
          <a:extLst>
            <a:ext uri="{FF2B5EF4-FFF2-40B4-BE49-F238E27FC236}">
              <a16:creationId xmlns:a16="http://schemas.microsoft.com/office/drawing/2014/main" id="{00000000-0008-0000-3200-00003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5" name="Option Button 2364">
          <a:extLst>
            <a:ext uri="{FF2B5EF4-FFF2-40B4-BE49-F238E27FC236}">
              <a16:creationId xmlns:a16="http://schemas.microsoft.com/office/drawing/2014/main" id="{00000000-0008-0000-3200-00003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6" name="Group Box 2365" descr="Group Box 5">
          <a:extLst>
            <a:ext uri="{FF2B5EF4-FFF2-40B4-BE49-F238E27FC236}">
              <a16:creationId xmlns:a16="http://schemas.microsoft.com/office/drawing/2014/main" id="{00000000-0008-0000-3200-00003E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493</xdr:row>
      <xdr:rowOff>28440</xdr:rowOff>
    </xdr:from>
    <xdr:to>
      <xdr:col>7</xdr:col>
      <xdr:colOff>-363960</xdr:colOff>
      <xdr:row>494</xdr:row>
      <xdr:rowOff>0</xdr:rowOff>
    </xdr:to>
    <xdr:sp macro="" textlink="">
      <xdr:nvSpPr>
        <xdr:cNvPr id="2367" name="Option Button 2366">
          <a:extLst>
            <a:ext uri="{FF2B5EF4-FFF2-40B4-BE49-F238E27FC236}">
              <a16:creationId xmlns:a16="http://schemas.microsoft.com/office/drawing/2014/main" id="{00000000-0008-0000-3200-00003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8" name="Option Button 2367">
          <a:extLst>
            <a:ext uri="{FF2B5EF4-FFF2-40B4-BE49-F238E27FC236}">
              <a16:creationId xmlns:a16="http://schemas.microsoft.com/office/drawing/2014/main" id="{00000000-0008-0000-3200-00004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9" name="Option Button 2368">
          <a:extLst>
            <a:ext uri="{FF2B5EF4-FFF2-40B4-BE49-F238E27FC236}">
              <a16:creationId xmlns:a16="http://schemas.microsoft.com/office/drawing/2014/main" id="{00000000-0008-0000-3200-00004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0" name="Option Button 2369">
          <a:extLst>
            <a:ext uri="{FF2B5EF4-FFF2-40B4-BE49-F238E27FC236}">
              <a16:creationId xmlns:a16="http://schemas.microsoft.com/office/drawing/2014/main" id="{00000000-0008-0000-3200-00004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1" name="Group Box 2370" descr="Group Box 5">
          <a:extLst>
            <a:ext uri="{FF2B5EF4-FFF2-40B4-BE49-F238E27FC236}">
              <a16:creationId xmlns:a16="http://schemas.microsoft.com/office/drawing/2014/main" id="{00000000-0008-0000-3200-000043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494</xdr:row>
      <xdr:rowOff>28440</xdr:rowOff>
    </xdr:from>
    <xdr:to>
      <xdr:col>7</xdr:col>
      <xdr:colOff>-363960</xdr:colOff>
      <xdr:row>495</xdr:row>
      <xdr:rowOff>0</xdr:rowOff>
    </xdr:to>
    <xdr:sp macro="" textlink="">
      <xdr:nvSpPr>
        <xdr:cNvPr id="2372" name="Option Button 2371">
          <a:extLst>
            <a:ext uri="{FF2B5EF4-FFF2-40B4-BE49-F238E27FC236}">
              <a16:creationId xmlns:a16="http://schemas.microsoft.com/office/drawing/2014/main" id="{00000000-0008-0000-3200-00004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3" name="Option Button 2372">
          <a:extLst>
            <a:ext uri="{FF2B5EF4-FFF2-40B4-BE49-F238E27FC236}">
              <a16:creationId xmlns:a16="http://schemas.microsoft.com/office/drawing/2014/main" id="{00000000-0008-0000-3200-00004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4" name="Option Button 2373">
          <a:extLst>
            <a:ext uri="{FF2B5EF4-FFF2-40B4-BE49-F238E27FC236}">
              <a16:creationId xmlns:a16="http://schemas.microsoft.com/office/drawing/2014/main" id="{00000000-0008-0000-3200-00004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5" name="Option Button 2374">
          <a:extLst>
            <a:ext uri="{FF2B5EF4-FFF2-40B4-BE49-F238E27FC236}">
              <a16:creationId xmlns:a16="http://schemas.microsoft.com/office/drawing/2014/main" id="{00000000-0008-0000-3200-00004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6" name="Group Box 2375" descr="Group Box 5">
          <a:extLst>
            <a:ext uri="{FF2B5EF4-FFF2-40B4-BE49-F238E27FC236}">
              <a16:creationId xmlns:a16="http://schemas.microsoft.com/office/drawing/2014/main" id="{00000000-0008-0000-3200-000048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495</xdr:row>
      <xdr:rowOff>28440</xdr:rowOff>
    </xdr:from>
    <xdr:to>
      <xdr:col>7</xdr:col>
      <xdr:colOff>-363960</xdr:colOff>
      <xdr:row>496</xdr:row>
      <xdr:rowOff>0</xdr:rowOff>
    </xdr:to>
    <xdr:sp macro="" textlink="">
      <xdr:nvSpPr>
        <xdr:cNvPr id="2377" name="Option Button 2376">
          <a:extLst>
            <a:ext uri="{FF2B5EF4-FFF2-40B4-BE49-F238E27FC236}">
              <a16:creationId xmlns:a16="http://schemas.microsoft.com/office/drawing/2014/main" id="{00000000-0008-0000-3200-00004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8" name="Option Button 2377">
          <a:extLst>
            <a:ext uri="{FF2B5EF4-FFF2-40B4-BE49-F238E27FC236}">
              <a16:creationId xmlns:a16="http://schemas.microsoft.com/office/drawing/2014/main" id="{00000000-0008-0000-3200-00004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9" name="Option Button 2378">
          <a:extLst>
            <a:ext uri="{FF2B5EF4-FFF2-40B4-BE49-F238E27FC236}">
              <a16:creationId xmlns:a16="http://schemas.microsoft.com/office/drawing/2014/main" id="{00000000-0008-0000-3200-00004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0" name="Option Button 2379">
          <a:extLst>
            <a:ext uri="{FF2B5EF4-FFF2-40B4-BE49-F238E27FC236}">
              <a16:creationId xmlns:a16="http://schemas.microsoft.com/office/drawing/2014/main" id="{00000000-0008-0000-3200-00004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1" name="Group Box 2380" descr="Group Box 5">
          <a:extLst>
            <a:ext uri="{FF2B5EF4-FFF2-40B4-BE49-F238E27FC236}">
              <a16:creationId xmlns:a16="http://schemas.microsoft.com/office/drawing/2014/main" id="{00000000-0008-0000-3200-00004D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496</xdr:row>
      <xdr:rowOff>28440</xdr:rowOff>
    </xdr:from>
    <xdr:to>
      <xdr:col>7</xdr:col>
      <xdr:colOff>-363960</xdr:colOff>
      <xdr:row>497</xdr:row>
      <xdr:rowOff>0</xdr:rowOff>
    </xdr:to>
    <xdr:sp macro="" textlink="">
      <xdr:nvSpPr>
        <xdr:cNvPr id="2382" name="Option Button 2381">
          <a:extLst>
            <a:ext uri="{FF2B5EF4-FFF2-40B4-BE49-F238E27FC236}">
              <a16:creationId xmlns:a16="http://schemas.microsoft.com/office/drawing/2014/main" id="{00000000-0008-0000-3200-00004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3" name="Option Button 2382">
          <a:extLst>
            <a:ext uri="{FF2B5EF4-FFF2-40B4-BE49-F238E27FC236}">
              <a16:creationId xmlns:a16="http://schemas.microsoft.com/office/drawing/2014/main" id="{00000000-0008-0000-3200-00004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4" name="Option Button 2383">
          <a:extLst>
            <a:ext uri="{FF2B5EF4-FFF2-40B4-BE49-F238E27FC236}">
              <a16:creationId xmlns:a16="http://schemas.microsoft.com/office/drawing/2014/main" id="{00000000-0008-0000-3200-00005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5" name="Option Button 2384">
          <a:extLst>
            <a:ext uri="{FF2B5EF4-FFF2-40B4-BE49-F238E27FC236}">
              <a16:creationId xmlns:a16="http://schemas.microsoft.com/office/drawing/2014/main" id="{00000000-0008-0000-3200-00005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6" name="Group Box 2385" descr="Group Box 5">
          <a:extLst>
            <a:ext uri="{FF2B5EF4-FFF2-40B4-BE49-F238E27FC236}">
              <a16:creationId xmlns:a16="http://schemas.microsoft.com/office/drawing/2014/main" id="{00000000-0008-0000-3200-000052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497</xdr:row>
      <xdr:rowOff>28440</xdr:rowOff>
    </xdr:from>
    <xdr:to>
      <xdr:col>7</xdr:col>
      <xdr:colOff>-363960</xdr:colOff>
      <xdr:row>498</xdr:row>
      <xdr:rowOff>0</xdr:rowOff>
    </xdr:to>
    <xdr:sp macro="" textlink="">
      <xdr:nvSpPr>
        <xdr:cNvPr id="2387" name="Option Button 2386">
          <a:extLst>
            <a:ext uri="{FF2B5EF4-FFF2-40B4-BE49-F238E27FC236}">
              <a16:creationId xmlns:a16="http://schemas.microsoft.com/office/drawing/2014/main" id="{00000000-0008-0000-3200-00005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8" name="Option Button 2387">
          <a:extLst>
            <a:ext uri="{FF2B5EF4-FFF2-40B4-BE49-F238E27FC236}">
              <a16:creationId xmlns:a16="http://schemas.microsoft.com/office/drawing/2014/main" id="{00000000-0008-0000-3200-00005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9" name="Option Button 2388">
          <a:extLst>
            <a:ext uri="{FF2B5EF4-FFF2-40B4-BE49-F238E27FC236}">
              <a16:creationId xmlns:a16="http://schemas.microsoft.com/office/drawing/2014/main" id="{00000000-0008-0000-3200-00005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0" name="Option Button 2389">
          <a:extLst>
            <a:ext uri="{FF2B5EF4-FFF2-40B4-BE49-F238E27FC236}">
              <a16:creationId xmlns:a16="http://schemas.microsoft.com/office/drawing/2014/main" id="{00000000-0008-0000-3200-00005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1" name="Group Box 2390" descr="Group Box 5">
          <a:extLst>
            <a:ext uri="{FF2B5EF4-FFF2-40B4-BE49-F238E27FC236}">
              <a16:creationId xmlns:a16="http://schemas.microsoft.com/office/drawing/2014/main" id="{00000000-0008-0000-3200-000057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498</xdr:row>
      <xdr:rowOff>28440</xdr:rowOff>
    </xdr:from>
    <xdr:to>
      <xdr:col>7</xdr:col>
      <xdr:colOff>-363960</xdr:colOff>
      <xdr:row>499</xdr:row>
      <xdr:rowOff>0</xdr:rowOff>
    </xdr:to>
    <xdr:sp macro="" textlink="">
      <xdr:nvSpPr>
        <xdr:cNvPr id="2392" name="Option Button 2391">
          <a:extLst>
            <a:ext uri="{FF2B5EF4-FFF2-40B4-BE49-F238E27FC236}">
              <a16:creationId xmlns:a16="http://schemas.microsoft.com/office/drawing/2014/main" id="{00000000-0008-0000-3200-00005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3" name="Option Button 2392">
          <a:extLst>
            <a:ext uri="{FF2B5EF4-FFF2-40B4-BE49-F238E27FC236}">
              <a16:creationId xmlns:a16="http://schemas.microsoft.com/office/drawing/2014/main" id="{00000000-0008-0000-3200-00005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4" name="Option Button 2393">
          <a:extLst>
            <a:ext uri="{FF2B5EF4-FFF2-40B4-BE49-F238E27FC236}">
              <a16:creationId xmlns:a16="http://schemas.microsoft.com/office/drawing/2014/main" id="{00000000-0008-0000-3200-00005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5" name="Option Button 2394">
          <a:extLst>
            <a:ext uri="{FF2B5EF4-FFF2-40B4-BE49-F238E27FC236}">
              <a16:creationId xmlns:a16="http://schemas.microsoft.com/office/drawing/2014/main" id="{00000000-0008-0000-3200-00005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6" name="Group Box 2395" descr="Group Box 5">
          <a:extLst>
            <a:ext uri="{FF2B5EF4-FFF2-40B4-BE49-F238E27FC236}">
              <a16:creationId xmlns:a16="http://schemas.microsoft.com/office/drawing/2014/main" id="{00000000-0008-0000-3200-00005C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499</xdr:row>
      <xdr:rowOff>28440</xdr:rowOff>
    </xdr:from>
    <xdr:to>
      <xdr:col>7</xdr:col>
      <xdr:colOff>-363960</xdr:colOff>
      <xdr:row>500</xdr:row>
      <xdr:rowOff>0</xdr:rowOff>
    </xdr:to>
    <xdr:sp macro="" textlink="">
      <xdr:nvSpPr>
        <xdr:cNvPr id="2397" name="Option Button 2396">
          <a:extLst>
            <a:ext uri="{FF2B5EF4-FFF2-40B4-BE49-F238E27FC236}">
              <a16:creationId xmlns:a16="http://schemas.microsoft.com/office/drawing/2014/main" id="{00000000-0008-0000-3200-00005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8" name="Option Button 2397">
          <a:extLst>
            <a:ext uri="{FF2B5EF4-FFF2-40B4-BE49-F238E27FC236}">
              <a16:creationId xmlns:a16="http://schemas.microsoft.com/office/drawing/2014/main" id="{00000000-0008-0000-3200-00005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9" name="Option Button 2398">
          <a:extLst>
            <a:ext uri="{FF2B5EF4-FFF2-40B4-BE49-F238E27FC236}">
              <a16:creationId xmlns:a16="http://schemas.microsoft.com/office/drawing/2014/main" id="{00000000-0008-0000-3200-00005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0" name="Option Button 2399">
          <a:extLst>
            <a:ext uri="{FF2B5EF4-FFF2-40B4-BE49-F238E27FC236}">
              <a16:creationId xmlns:a16="http://schemas.microsoft.com/office/drawing/2014/main" id="{00000000-0008-0000-3200-00006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1" name="Group Box 2400" descr="Group Box 5">
          <a:extLst>
            <a:ext uri="{FF2B5EF4-FFF2-40B4-BE49-F238E27FC236}">
              <a16:creationId xmlns:a16="http://schemas.microsoft.com/office/drawing/2014/main" id="{00000000-0008-0000-3200-000061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500</xdr:row>
      <xdr:rowOff>28440</xdr:rowOff>
    </xdr:from>
    <xdr:to>
      <xdr:col>7</xdr:col>
      <xdr:colOff>-363960</xdr:colOff>
      <xdr:row>501</xdr:row>
      <xdr:rowOff>0</xdr:rowOff>
    </xdr:to>
    <xdr:sp macro="" textlink="">
      <xdr:nvSpPr>
        <xdr:cNvPr id="2402" name="Option Button 2401">
          <a:extLst>
            <a:ext uri="{FF2B5EF4-FFF2-40B4-BE49-F238E27FC236}">
              <a16:creationId xmlns:a16="http://schemas.microsoft.com/office/drawing/2014/main" id="{00000000-0008-0000-3200-00006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3" name="Option Button 2402">
          <a:extLst>
            <a:ext uri="{FF2B5EF4-FFF2-40B4-BE49-F238E27FC236}">
              <a16:creationId xmlns:a16="http://schemas.microsoft.com/office/drawing/2014/main" id="{00000000-0008-0000-3200-00006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4" name="Option Button 2403">
          <a:extLst>
            <a:ext uri="{FF2B5EF4-FFF2-40B4-BE49-F238E27FC236}">
              <a16:creationId xmlns:a16="http://schemas.microsoft.com/office/drawing/2014/main" id="{00000000-0008-0000-3200-00006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5" name="Option Button 2404">
          <a:extLst>
            <a:ext uri="{FF2B5EF4-FFF2-40B4-BE49-F238E27FC236}">
              <a16:creationId xmlns:a16="http://schemas.microsoft.com/office/drawing/2014/main" id="{00000000-0008-0000-3200-00006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6" name="Group Box 2405" descr="Group Box 5">
          <a:extLst>
            <a:ext uri="{FF2B5EF4-FFF2-40B4-BE49-F238E27FC236}">
              <a16:creationId xmlns:a16="http://schemas.microsoft.com/office/drawing/2014/main" id="{00000000-0008-0000-3200-000066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501</xdr:row>
      <xdr:rowOff>28440</xdr:rowOff>
    </xdr:from>
    <xdr:to>
      <xdr:col>7</xdr:col>
      <xdr:colOff>-363960</xdr:colOff>
      <xdr:row>502</xdr:row>
      <xdr:rowOff>0</xdr:rowOff>
    </xdr:to>
    <xdr:sp macro="" textlink="">
      <xdr:nvSpPr>
        <xdr:cNvPr id="2407" name="Option Button 2406">
          <a:extLst>
            <a:ext uri="{FF2B5EF4-FFF2-40B4-BE49-F238E27FC236}">
              <a16:creationId xmlns:a16="http://schemas.microsoft.com/office/drawing/2014/main" id="{00000000-0008-0000-3200-00006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8" name="Option Button 2407">
          <a:extLst>
            <a:ext uri="{FF2B5EF4-FFF2-40B4-BE49-F238E27FC236}">
              <a16:creationId xmlns:a16="http://schemas.microsoft.com/office/drawing/2014/main" id="{00000000-0008-0000-3200-00006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9" name="Option Button 2408">
          <a:extLst>
            <a:ext uri="{FF2B5EF4-FFF2-40B4-BE49-F238E27FC236}">
              <a16:creationId xmlns:a16="http://schemas.microsoft.com/office/drawing/2014/main" id="{00000000-0008-0000-3200-00006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0" name="Option Button 2409">
          <a:extLst>
            <a:ext uri="{FF2B5EF4-FFF2-40B4-BE49-F238E27FC236}">
              <a16:creationId xmlns:a16="http://schemas.microsoft.com/office/drawing/2014/main" id="{00000000-0008-0000-3200-00006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1" name="Group Box 2410" descr="Group Box 5">
          <a:extLst>
            <a:ext uri="{FF2B5EF4-FFF2-40B4-BE49-F238E27FC236}">
              <a16:creationId xmlns:a16="http://schemas.microsoft.com/office/drawing/2014/main" id="{00000000-0008-0000-3200-00006B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502</xdr:row>
      <xdr:rowOff>28440</xdr:rowOff>
    </xdr:from>
    <xdr:to>
      <xdr:col>7</xdr:col>
      <xdr:colOff>-363960</xdr:colOff>
      <xdr:row>503</xdr:row>
      <xdr:rowOff>0</xdr:rowOff>
    </xdr:to>
    <xdr:sp macro="" textlink="">
      <xdr:nvSpPr>
        <xdr:cNvPr id="2412" name="Option Button 2411">
          <a:extLst>
            <a:ext uri="{FF2B5EF4-FFF2-40B4-BE49-F238E27FC236}">
              <a16:creationId xmlns:a16="http://schemas.microsoft.com/office/drawing/2014/main" id="{00000000-0008-0000-3200-00006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3" name="Option Button 2412">
          <a:extLst>
            <a:ext uri="{FF2B5EF4-FFF2-40B4-BE49-F238E27FC236}">
              <a16:creationId xmlns:a16="http://schemas.microsoft.com/office/drawing/2014/main" id="{00000000-0008-0000-3200-00006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4" name="Option Button 2413">
          <a:extLst>
            <a:ext uri="{FF2B5EF4-FFF2-40B4-BE49-F238E27FC236}">
              <a16:creationId xmlns:a16="http://schemas.microsoft.com/office/drawing/2014/main" id="{00000000-0008-0000-3200-00006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5" name="Option Button 2414">
          <a:extLst>
            <a:ext uri="{FF2B5EF4-FFF2-40B4-BE49-F238E27FC236}">
              <a16:creationId xmlns:a16="http://schemas.microsoft.com/office/drawing/2014/main" id="{00000000-0008-0000-3200-00006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6" name="Group Box 2415" descr="Group Box 5">
          <a:extLst>
            <a:ext uri="{FF2B5EF4-FFF2-40B4-BE49-F238E27FC236}">
              <a16:creationId xmlns:a16="http://schemas.microsoft.com/office/drawing/2014/main" id="{00000000-0008-0000-3200-000070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503</xdr:row>
      <xdr:rowOff>28440</xdr:rowOff>
    </xdr:from>
    <xdr:to>
      <xdr:col>7</xdr:col>
      <xdr:colOff>-363960</xdr:colOff>
      <xdr:row>504</xdr:row>
      <xdr:rowOff>0</xdr:rowOff>
    </xdr:to>
    <xdr:sp macro="" textlink="">
      <xdr:nvSpPr>
        <xdr:cNvPr id="2417" name="Option Button 2416">
          <a:extLst>
            <a:ext uri="{FF2B5EF4-FFF2-40B4-BE49-F238E27FC236}">
              <a16:creationId xmlns:a16="http://schemas.microsoft.com/office/drawing/2014/main" id="{00000000-0008-0000-3200-00007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8" name="Option Button 2417">
          <a:extLst>
            <a:ext uri="{FF2B5EF4-FFF2-40B4-BE49-F238E27FC236}">
              <a16:creationId xmlns:a16="http://schemas.microsoft.com/office/drawing/2014/main" id="{00000000-0008-0000-3200-00007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9" name="Option Button 2418">
          <a:extLst>
            <a:ext uri="{FF2B5EF4-FFF2-40B4-BE49-F238E27FC236}">
              <a16:creationId xmlns:a16="http://schemas.microsoft.com/office/drawing/2014/main" id="{00000000-0008-0000-3200-00007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0" name="Option Button 2419">
          <a:extLst>
            <a:ext uri="{FF2B5EF4-FFF2-40B4-BE49-F238E27FC236}">
              <a16:creationId xmlns:a16="http://schemas.microsoft.com/office/drawing/2014/main" id="{00000000-0008-0000-3200-00007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1" name="Group Box 2420" descr="Group Box 5">
          <a:extLst>
            <a:ext uri="{FF2B5EF4-FFF2-40B4-BE49-F238E27FC236}">
              <a16:creationId xmlns:a16="http://schemas.microsoft.com/office/drawing/2014/main" id="{00000000-0008-0000-3200-000075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504</xdr:row>
      <xdr:rowOff>28440</xdr:rowOff>
    </xdr:from>
    <xdr:to>
      <xdr:col>7</xdr:col>
      <xdr:colOff>-363960</xdr:colOff>
      <xdr:row>505</xdr:row>
      <xdr:rowOff>0</xdr:rowOff>
    </xdr:to>
    <xdr:sp macro="" textlink="">
      <xdr:nvSpPr>
        <xdr:cNvPr id="2422" name="Option Button 2421">
          <a:extLst>
            <a:ext uri="{FF2B5EF4-FFF2-40B4-BE49-F238E27FC236}">
              <a16:creationId xmlns:a16="http://schemas.microsoft.com/office/drawing/2014/main" id="{00000000-0008-0000-3200-00007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3" name="Option Button 2422">
          <a:extLst>
            <a:ext uri="{FF2B5EF4-FFF2-40B4-BE49-F238E27FC236}">
              <a16:creationId xmlns:a16="http://schemas.microsoft.com/office/drawing/2014/main" id="{00000000-0008-0000-3200-00007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4" name="Option Button 2423">
          <a:extLst>
            <a:ext uri="{FF2B5EF4-FFF2-40B4-BE49-F238E27FC236}">
              <a16:creationId xmlns:a16="http://schemas.microsoft.com/office/drawing/2014/main" id="{00000000-0008-0000-3200-00007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5" name="Option Button 2424">
          <a:extLst>
            <a:ext uri="{FF2B5EF4-FFF2-40B4-BE49-F238E27FC236}">
              <a16:creationId xmlns:a16="http://schemas.microsoft.com/office/drawing/2014/main" id="{00000000-0008-0000-3200-00007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6" name="Group Box 2425" descr="Group Box 5">
          <a:extLst>
            <a:ext uri="{FF2B5EF4-FFF2-40B4-BE49-F238E27FC236}">
              <a16:creationId xmlns:a16="http://schemas.microsoft.com/office/drawing/2014/main" id="{00000000-0008-0000-3200-00007A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505</xdr:row>
      <xdr:rowOff>28440</xdr:rowOff>
    </xdr:from>
    <xdr:to>
      <xdr:col>7</xdr:col>
      <xdr:colOff>-363960</xdr:colOff>
      <xdr:row>506</xdr:row>
      <xdr:rowOff>0</xdr:rowOff>
    </xdr:to>
    <xdr:sp macro="" textlink="">
      <xdr:nvSpPr>
        <xdr:cNvPr id="2427" name="Option Button 2426">
          <a:extLst>
            <a:ext uri="{FF2B5EF4-FFF2-40B4-BE49-F238E27FC236}">
              <a16:creationId xmlns:a16="http://schemas.microsoft.com/office/drawing/2014/main" id="{00000000-0008-0000-3200-00007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8" name="Option Button 2427">
          <a:extLst>
            <a:ext uri="{FF2B5EF4-FFF2-40B4-BE49-F238E27FC236}">
              <a16:creationId xmlns:a16="http://schemas.microsoft.com/office/drawing/2014/main" id="{00000000-0008-0000-3200-00007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9" name="Option Button 2428">
          <a:extLst>
            <a:ext uri="{FF2B5EF4-FFF2-40B4-BE49-F238E27FC236}">
              <a16:creationId xmlns:a16="http://schemas.microsoft.com/office/drawing/2014/main" id="{00000000-0008-0000-3200-00007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0" name="Option Button 2429">
          <a:extLst>
            <a:ext uri="{FF2B5EF4-FFF2-40B4-BE49-F238E27FC236}">
              <a16:creationId xmlns:a16="http://schemas.microsoft.com/office/drawing/2014/main" id="{00000000-0008-0000-3200-00007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1" name="Group Box 2430" descr="Group Box 5">
          <a:extLst>
            <a:ext uri="{FF2B5EF4-FFF2-40B4-BE49-F238E27FC236}">
              <a16:creationId xmlns:a16="http://schemas.microsoft.com/office/drawing/2014/main" id="{00000000-0008-0000-3200-00007F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506</xdr:row>
      <xdr:rowOff>28440</xdr:rowOff>
    </xdr:from>
    <xdr:to>
      <xdr:col>7</xdr:col>
      <xdr:colOff>-363960</xdr:colOff>
      <xdr:row>507</xdr:row>
      <xdr:rowOff>0</xdr:rowOff>
    </xdr:to>
    <xdr:sp macro="" textlink="">
      <xdr:nvSpPr>
        <xdr:cNvPr id="2432" name="Option Button 2431">
          <a:extLst>
            <a:ext uri="{FF2B5EF4-FFF2-40B4-BE49-F238E27FC236}">
              <a16:creationId xmlns:a16="http://schemas.microsoft.com/office/drawing/2014/main" id="{00000000-0008-0000-3200-00008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3" name="Option Button 2432">
          <a:extLst>
            <a:ext uri="{FF2B5EF4-FFF2-40B4-BE49-F238E27FC236}">
              <a16:creationId xmlns:a16="http://schemas.microsoft.com/office/drawing/2014/main" id="{00000000-0008-0000-3200-00008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4" name="Option Button 2433">
          <a:extLst>
            <a:ext uri="{FF2B5EF4-FFF2-40B4-BE49-F238E27FC236}">
              <a16:creationId xmlns:a16="http://schemas.microsoft.com/office/drawing/2014/main" id="{00000000-0008-0000-3200-00008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5" name="Option Button 2434">
          <a:extLst>
            <a:ext uri="{FF2B5EF4-FFF2-40B4-BE49-F238E27FC236}">
              <a16:creationId xmlns:a16="http://schemas.microsoft.com/office/drawing/2014/main" id="{00000000-0008-0000-3200-00008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6" name="Group Box 2435" descr="Group Box 5">
          <a:extLst>
            <a:ext uri="{FF2B5EF4-FFF2-40B4-BE49-F238E27FC236}">
              <a16:creationId xmlns:a16="http://schemas.microsoft.com/office/drawing/2014/main" id="{00000000-0008-0000-3200-000084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507</xdr:row>
      <xdr:rowOff>28440</xdr:rowOff>
    </xdr:from>
    <xdr:to>
      <xdr:col>7</xdr:col>
      <xdr:colOff>-363960</xdr:colOff>
      <xdr:row>508</xdr:row>
      <xdr:rowOff>0</xdr:rowOff>
    </xdr:to>
    <xdr:sp macro="" textlink="">
      <xdr:nvSpPr>
        <xdr:cNvPr id="2437" name="Option Button 2436">
          <a:extLst>
            <a:ext uri="{FF2B5EF4-FFF2-40B4-BE49-F238E27FC236}">
              <a16:creationId xmlns:a16="http://schemas.microsoft.com/office/drawing/2014/main" id="{00000000-0008-0000-3200-00008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8" name="Option Button 2437">
          <a:extLst>
            <a:ext uri="{FF2B5EF4-FFF2-40B4-BE49-F238E27FC236}">
              <a16:creationId xmlns:a16="http://schemas.microsoft.com/office/drawing/2014/main" id="{00000000-0008-0000-3200-00008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9" name="Option Button 2438">
          <a:extLst>
            <a:ext uri="{FF2B5EF4-FFF2-40B4-BE49-F238E27FC236}">
              <a16:creationId xmlns:a16="http://schemas.microsoft.com/office/drawing/2014/main" id="{00000000-0008-0000-3200-00008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0" name="Option Button 2439">
          <a:extLst>
            <a:ext uri="{FF2B5EF4-FFF2-40B4-BE49-F238E27FC236}">
              <a16:creationId xmlns:a16="http://schemas.microsoft.com/office/drawing/2014/main" id="{00000000-0008-0000-3200-00008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1" name="Group Box 2440" descr="Group Box 5">
          <a:extLst>
            <a:ext uri="{FF2B5EF4-FFF2-40B4-BE49-F238E27FC236}">
              <a16:creationId xmlns:a16="http://schemas.microsoft.com/office/drawing/2014/main" id="{00000000-0008-0000-3200-000089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508</xdr:row>
      <xdr:rowOff>28440</xdr:rowOff>
    </xdr:from>
    <xdr:to>
      <xdr:col>7</xdr:col>
      <xdr:colOff>-363960</xdr:colOff>
      <xdr:row>509</xdr:row>
      <xdr:rowOff>0</xdr:rowOff>
    </xdr:to>
    <xdr:sp macro="" textlink="">
      <xdr:nvSpPr>
        <xdr:cNvPr id="2442" name="Option Button 2441">
          <a:extLst>
            <a:ext uri="{FF2B5EF4-FFF2-40B4-BE49-F238E27FC236}">
              <a16:creationId xmlns:a16="http://schemas.microsoft.com/office/drawing/2014/main" id="{00000000-0008-0000-3200-00008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3" name="Option Button 2442">
          <a:extLst>
            <a:ext uri="{FF2B5EF4-FFF2-40B4-BE49-F238E27FC236}">
              <a16:creationId xmlns:a16="http://schemas.microsoft.com/office/drawing/2014/main" id="{00000000-0008-0000-3200-00008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4" name="Option Button 2443">
          <a:extLst>
            <a:ext uri="{FF2B5EF4-FFF2-40B4-BE49-F238E27FC236}">
              <a16:creationId xmlns:a16="http://schemas.microsoft.com/office/drawing/2014/main" id="{00000000-0008-0000-3200-00008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5" name="Option Button 2444">
          <a:extLst>
            <a:ext uri="{FF2B5EF4-FFF2-40B4-BE49-F238E27FC236}">
              <a16:creationId xmlns:a16="http://schemas.microsoft.com/office/drawing/2014/main" id="{00000000-0008-0000-3200-00008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6" name="Group Box 2445" descr="Group Box 5">
          <a:extLst>
            <a:ext uri="{FF2B5EF4-FFF2-40B4-BE49-F238E27FC236}">
              <a16:creationId xmlns:a16="http://schemas.microsoft.com/office/drawing/2014/main" id="{00000000-0008-0000-3200-00008E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509</xdr:row>
      <xdr:rowOff>28440</xdr:rowOff>
    </xdr:from>
    <xdr:to>
      <xdr:col>7</xdr:col>
      <xdr:colOff>-363960</xdr:colOff>
      <xdr:row>510</xdr:row>
      <xdr:rowOff>0</xdr:rowOff>
    </xdr:to>
    <xdr:sp macro="" textlink="">
      <xdr:nvSpPr>
        <xdr:cNvPr id="2447" name="Option Button 2446">
          <a:extLst>
            <a:ext uri="{FF2B5EF4-FFF2-40B4-BE49-F238E27FC236}">
              <a16:creationId xmlns:a16="http://schemas.microsoft.com/office/drawing/2014/main" id="{00000000-0008-0000-3200-00008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8" name="Option Button 2447">
          <a:extLst>
            <a:ext uri="{FF2B5EF4-FFF2-40B4-BE49-F238E27FC236}">
              <a16:creationId xmlns:a16="http://schemas.microsoft.com/office/drawing/2014/main" id="{00000000-0008-0000-3200-00009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9" name="Option Button 2448">
          <a:extLst>
            <a:ext uri="{FF2B5EF4-FFF2-40B4-BE49-F238E27FC236}">
              <a16:creationId xmlns:a16="http://schemas.microsoft.com/office/drawing/2014/main" id="{00000000-0008-0000-3200-00009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0" name="Option Button 2449">
          <a:extLst>
            <a:ext uri="{FF2B5EF4-FFF2-40B4-BE49-F238E27FC236}">
              <a16:creationId xmlns:a16="http://schemas.microsoft.com/office/drawing/2014/main" id="{00000000-0008-0000-3200-00009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1" name="Group Box 2450" descr="Group Box 5">
          <a:extLst>
            <a:ext uri="{FF2B5EF4-FFF2-40B4-BE49-F238E27FC236}">
              <a16:creationId xmlns:a16="http://schemas.microsoft.com/office/drawing/2014/main" id="{00000000-0008-0000-3200-000093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510</xdr:row>
      <xdr:rowOff>28440</xdr:rowOff>
    </xdr:from>
    <xdr:to>
      <xdr:col>7</xdr:col>
      <xdr:colOff>-363960</xdr:colOff>
      <xdr:row>511</xdr:row>
      <xdr:rowOff>0</xdr:rowOff>
    </xdr:to>
    <xdr:sp macro="" textlink="">
      <xdr:nvSpPr>
        <xdr:cNvPr id="2452" name="Option Button 2451">
          <a:extLst>
            <a:ext uri="{FF2B5EF4-FFF2-40B4-BE49-F238E27FC236}">
              <a16:creationId xmlns:a16="http://schemas.microsoft.com/office/drawing/2014/main" id="{00000000-0008-0000-3200-00009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3" name="Option Button 2452">
          <a:extLst>
            <a:ext uri="{FF2B5EF4-FFF2-40B4-BE49-F238E27FC236}">
              <a16:creationId xmlns:a16="http://schemas.microsoft.com/office/drawing/2014/main" id="{00000000-0008-0000-3200-00009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4" name="Option Button 2453">
          <a:extLst>
            <a:ext uri="{FF2B5EF4-FFF2-40B4-BE49-F238E27FC236}">
              <a16:creationId xmlns:a16="http://schemas.microsoft.com/office/drawing/2014/main" id="{00000000-0008-0000-3200-00009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5" name="Option Button 2454">
          <a:extLst>
            <a:ext uri="{FF2B5EF4-FFF2-40B4-BE49-F238E27FC236}">
              <a16:creationId xmlns:a16="http://schemas.microsoft.com/office/drawing/2014/main" id="{00000000-0008-0000-3200-00009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6" name="Group Box 2455" descr="Group Box 5">
          <a:extLst>
            <a:ext uri="{FF2B5EF4-FFF2-40B4-BE49-F238E27FC236}">
              <a16:creationId xmlns:a16="http://schemas.microsoft.com/office/drawing/2014/main" id="{00000000-0008-0000-3200-000098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511</xdr:row>
      <xdr:rowOff>28440</xdr:rowOff>
    </xdr:from>
    <xdr:to>
      <xdr:col>7</xdr:col>
      <xdr:colOff>-363960</xdr:colOff>
      <xdr:row>512</xdr:row>
      <xdr:rowOff>0</xdr:rowOff>
    </xdr:to>
    <xdr:sp macro="" textlink="">
      <xdr:nvSpPr>
        <xdr:cNvPr id="2457" name="Option Button 2456">
          <a:extLst>
            <a:ext uri="{FF2B5EF4-FFF2-40B4-BE49-F238E27FC236}">
              <a16:creationId xmlns:a16="http://schemas.microsoft.com/office/drawing/2014/main" id="{00000000-0008-0000-3200-00009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8" name="Option Button 2457">
          <a:extLst>
            <a:ext uri="{FF2B5EF4-FFF2-40B4-BE49-F238E27FC236}">
              <a16:creationId xmlns:a16="http://schemas.microsoft.com/office/drawing/2014/main" id="{00000000-0008-0000-3200-00009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9" name="Option Button 2458">
          <a:extLst>
            <a:ext uri="{FF2B5EF4-FFF2-40B4-BE49-F238E27FC236}">
              <a16:creationId xmlns:a16="http://schemas.microsoft.com/office/drawing/2014/main" id="{00000000-0008-0000-3200-00009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0" name="Option Button 2459">
          <a:extLst>
            <a:ext uri="{FF2B5EF4-FFF2-40B4-BE49-F238E27FC236}">
              <a16:creationId xmlns:a16="http://schemas.microsoft.com/office/drawing/2014/main" id="{00000000-0008-0000-3200-00009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1" name="Group Box 2460" descr="Group Box 5">
          <a:extLst>
            <a:ext uri="{FF2B5EF4-FFF2-40B4-BE49-F238E27FC236}">
              <a16:creationId xmlns:a16="http://schemas.microsoft.com/office/drawing/2014/main" id="{00000000-0008-0000-3200-00009D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512</xdr:row>
      <xdr:rowOff>28440</xdr:rowOff>
    </xdr:from>
    <xdr:to>
      <xdr:col>7</xdr:col>
      <xdr:colOff>-363960</xdr:colOff>
      <xdr:row>513</xdr:row>
      <xdr:rowOff>0</xdr:rowOff>
    </xdr:to>
    <xdr:sp macro="" textlink="">
      <xdr:nvSpPr>
        <xdr:cNvPr id="2462" name="Option Button 2461">
          <a:extLst>
            <a:ext uri="{FF2B5EF4-FFF2-40B4-BE49-F238E27FC236}">
              <a16:creationId xmlns:a16="http://schemas.microsoft.com/office/drawing/2014/main" id="{00000000-0008-0000-3200-00009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3" name="Option Button 2462">
          <a:extLst>
            <a:ext uri="{FF2B5EF4-FFF2-40B4-BE49-F238E27FC236}">
              <a16:creationId xmlns:a16="http://schemas.microsoft.com/office/drawing/2014/main" id="{00000000-0008-0000-3200-00009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4" name="Option Button 2463">
          <a:extLst>
            <a:ext uri="{FF2B5EF4-FFF2-40B4-BE49-F238E27FC236}">
              <a16:creationId xmlns:a16="http://schemas.microsoft.com/office/drawing/2014/main" id="{00000000-0008-0000-3200-0000A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5" name="Option Button 2464">
          <a:extLst>
            <a:ext uri="{FF2B5EF4-FFF2-40B4-BE49-F238E27FC236}">
              <a16:creationId xmlns:a16="http://schemas.microsoft.com/office/drawing/2014/main" id="{00000000-0008-0000-3200-0000A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6" name="Group Box 2465" descr="Group Box 5">
          <a:extLst>
            <a:ext uri="{FF2B5EF4-FFF2-40B4-BE49-F238E27FC236}">
              <a16:creationId xmlns:a16="http://schemas.microsoft.com/office/drawing/2014/main" id="{00000000-0008-0000-3200-0000A2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513</xdr:row>
      <xdr:rowOff>28440</xdr:rowOff>
    </xdr:from>
    <xdr:to>
      <xdr:col>7</xdr:col>
      <xdr:colOff>-363960</xdr:colOff>
      <xdr:row>514</xdr:row>
      <xdr:rowOff>0</xdr:rowOff>
    </xdr:to>
    <xdr:sp macro="" textlink="">
      <xdr:nvSpPr>
        <xdr:cNvPr id="2467" name="Option Button 2466">
          <a:extLst>
            <a:ext uri="{FF2B5EF4-FFF2-40B4-BE49-F238E27FC236}">
              <a16:creationId xmlns:a16="http://schemas.microsoft.com/office/drawing/2014/main" id="{00000000-0008-0000-3200-0000A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8" name="Option Button 2467">
          <a:extLst>
            <a:ext uri="{FF2B5EF4-FFF2-40B4-BE49-F238E27FC236}">
              <a16:creationId xmlns:a16="http://schemas.microsoft.com/office/drawing/2014/main" id="{00000000-0008-0000-3200-0000A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9" name="Option Button 2468">
          <a:extLst>
            <a:ext uri="{FF2B5EF4-FFF2-40B4-BE49-F238E27FC236}">
              <a16:creationId xmlns:a16="http://schemas.microsoft.com/office/drawing/2014/main" id="{00000000-0008-0000-3200-0000A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0" name="Option Button 2469">
          <a:extLst>
            <a:ext uri="{FF2B5EF4-FFF2-40B4-BE49-F238E27FC236}">
              <a16:creationId xmlns:a16="http://schemas.microsoft.com/office/drawing/2014/main" id="{00000000-0008-0000-3200-0000A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1" name="Group Box 2470" descr="Group Box 5">
          <a:extLst>
            <a:ext uri="{FF2B5EF4-FFF2-40B4-BE49-F238E27FC236}">
              <a16:creationId xmlns:a16="http://schemas.microsoft.com/office/drawing/2014/main" id="{00000000-0008-0000-3200-0000A7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514</xdr:row>
      <xdr:rowOff>28440</xdr:rowOff>
    </xdr:from>
    <xdr:to>
      <xdr:col>7</xdr:col>
      <xdr:colOff>-363960</xdr:colOff>
      <xdr:row>515</xdr:row>
      <xdr:rowOff>0</xdr:rowOff>
    </xdr:to>
    <xdr:sp macro="" textlink="">
      <xdr:nvSpPr>
        <xdr:cNvPr id="2472" name="Option Button 2471">
          <a:extLst>
            <a:ext uri="{FF2B5EF4-FFF2-40B4-BE49-F238E27FC236}">
              <a16:creationId xmlns:a16="http://schemas.microsoft.com/office/drawing/2014/main" id="{00000000-0008-0000-3200-0000A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3" name="Option Button 2472">
          <a:extLst>
            <a:ext uri="{FF2B5EF4-FFF2-40B4-BE49-F238E27FC236}">
              <a16:creationId xmlns:a16="http://schemas.microsoft.com/office/drawing/2014/main" id="{00000000-0008-0000-3200-0000A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4" name="Option Button 2473">
          <a:extLst>
            <a:ext uri="{FF2B5EF4-FFF2-40B4-BE49-F238E27FC236}">
              <a16:creationId xmlns:a16="http://schemas.microsoft.com/office/drawing/2014/main" id="{00000000-0008-0000-3200-0000A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5" name="Option Button 2474">
          <a:extLst>
            <a:ext uri="{FF2B5EF4-FFF2-40B4-BE49-F238E27FC236}">
              <a16:creationId xmlns:a16="http://schemas.microsoft.com/office/drawing/2014/main" id="{00000000-0008-0000-3200-0000A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6" name="Group Box 2475" descr="Group Box 5">
          <a:extLst>
            <a:ext uri="{FF2B5EF4-FFF2-40B4-BE49-F238E27FC236}">
              <a16:creationId xmlns:a16="http://schemas.microsoft.com/office/drawing/2014/main" id="{00000000-0008-0000-3200-0000AC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515</xdr:row>
      <xdr:rowOff>28440</xdr:rowOff>
    </xdr:from>
    <xdr:to>
      <xdr:col>7</xdr:col>
      <xdr:colOff>-363960</xdr:colOff>
      <xdr:row>516</xdr:row>
      <xdr:rowOff>0</xdr:rowOff>
    </xdr:to>
    <xdr:sp macro="" textlink="">
      <xdr:nvSpPr>
        <xdr:cNvPr id="2477" name="Option Button 2476">
          <a:extLst>
            <a:ext uri="{FF2B5EF4-FFF2-40B4-BE49-F238E27FC236}">
              <a16:creationId xmlns:a16="http://schemas.microsoft.com/office/drawing/2014/main" id="{00000000-0008-0000-3200-0000A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8" name="Option Button 2477">
          <a:extLst>
            <a:ext uri="{FF2B5EF4-FFF2-40B4-BE49-F238E27FC236}">
              <a16:creationId xmlns:a16="http://schemas.microsoft.com/office/drawing/2014/main" id="{00000000-0008-0000-3200-0000A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9" name="Option Button 2478">
          <a:extLst>
            <a:ext uri="{FF2B5EF4-FFF2-40B4-BE49-F238E27FC236}">
              <a16:creationId xmlns:a16="http://schemas.microsoft.com/office/drawing/2014/main" id="{00000000-0008-0000-3200-0000A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0" name="Option Button 2479">
          <a:extLst>
            <a:ext uri="{FF2B5EF4-FFF2-40B4-BE49-F238E27FC236}">
              <a16:creationId xmlns:a16="http://schemas.microsoft.com/office/drawing/2014/main" id="{00000000-0008-0000-3200-0000B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1" name="Group Box 2480" descr="Group Box 5">
          <a:extLst>
            <a:ext uri="{FF2B5EF4-FFF2-40B4-BE49-F238E27FC236}">
              <a16:creationId xmlns:a16="http://schemas.microsoft.com/office/drawing/2014/main" id="{00000000-0008-0000-3200-0000B1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516</xdr:row>
      <xdr:rowOff>28440</xdr:rowOff>
    </xdr:from>
    <xdr:to>
      <xdr:col>7</xdr:col>
      <xdr:colOff>-363960</xdr:colOff>
      <xdr:row>517</xdr:row>
      <xdr:rowOff>0</xdr:rowOff>
    </xdr:to>
    <xdr:sp macro="" textlink="">
      <xdr:nvSpPr>
        <xdr:cNvPr id="2482" name="Option Button 2481">
          <a:extLst>
            <a:ext uri="{FF2B5EF4-FFF2-40B4-BE49-F238E27FC236}">
              <a16:creationId xmlns:a16="http://schemas.microsoft.com/office/drawing/2014/main" id="{00000000-0008-0000-3200-0000B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3" name="Option Button 2482">
          <a:extLst>
            <a:ext uri="{FF2B5EF4-FFF2-40B4-BE49-F238E27FC236}">
              <a16:creationId xmlns:a16="http://schemas.microsoft.com/office/drawing/2014/main" id="{00000000-0008-0000-3200-0000B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4" name="Option Button 2483">
          <a:extLst>
            <a:ext uri="{FF2B5EF4-FFF2-40B4-BE49-F238E27FC236}">
              <a16:creationId xmlns:a16="http://schemas.microsoft.com/office/drawing/2014/main" id="{00000000-0008-0000-3200-0000B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5" name="Option Button 2484">
          <a:extLst>
            <a:ext uri="{FF2B5EF4-FFF2-40B4-BE49-F238E27FC236}">
              <a16:creationId xmlns:a16="http://schemas.microsoft.com/office/drawing/2014/main" id="{00000000-0008-0000-3200-0000B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6" name="Group Box 2485" descr="Group Box 5">
          <a:extLst>
            <a:ext uri="{FF2B5EF4-FFF2-40B4-BE49-F238E27FC236}">
              <a16:creationId xmlns:a16="http://schemas.microsoft.com/office/drawing/2014/main" id="{00000000-0008-0000-3200-0000B6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517</xdr:row>
      <xdr:rowOff>28440</xdr:rowOff>
    </xdr:from>
    <xdr:to>
      <xdr:col>7</xdr:col>
      <xdr:colOff>-363960</xdr:colOff>
      <xdr:row>518</xdr:row>
      <xdr:rowOff>0</xdr:rowOff>
    </xdr:to>
    <xdr:sp macro="" textlink="">
      <xdr:nvSpPr>
        <xdr:cNvPr id="2487" name="Option Button 2486">
          <a:extLst>
            <a:ext uri="{FF2B5EF4-FFF2-40B4-BE49-F238E27FC236}">
              <a16:creationId xmlns:a16="http://schemas.microsoft.com/office/drawing/2014/main" id="{00000000-0008-0000-3200-0000B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8" name="Option Button 2487">
          <a:extLst>
            <a:ext uri="{FF2B5EF4-FFF2-40B4-BE49-F238E27FC236}">
              <a16:creationId xmlns:a16="http://schemas.microsoft.com/office/drawing/2014/main" id="{00000000-0008-0000-3200-0000B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9" name="Option Button 2488">
          <a:extLst>
            <a:ext uri="{FF2B5EF4-FFF2-40B4-BE49-F238E27FC236}">
              <a16:creationId xmlns:a16="http://schemas.microsoft.com/office/drawing/2014/main" id="{00000000-0008-0000-3200-0000B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0" name="Option Button 2489">
          <a:extLst>
            <a:ext uri="{FF2B5EF4-FFF2-40B4-BE49-F238E27FC236}">
              <a16:creationId xmlns:a16="http://schemas.microsoft.com/office/drawing/2014/main" id="{00000000-0008-0000-3200-0000B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1" name="Group Box 2490" descr="Group Box 5">
          <a:extLst>
            <a:ext uri="{FF2B5EF4-FFF2-40B4-BE49-F238E27FC236}">
              <a16:creationId xmlns:a16="http://schemas.microsoft.com/office/drawing/2014/main" id="{00000000-0008-0000-3200-0000BB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518</xdr:row>
      <xdr:rowOff>28440</xdr:rowOff>
    </xdr:from>
    <xdr:to>
      <xdr:col>7</xdr:col>
      <xdr:colOff>-363960</xdr:colOff>
      <xdr:row>519</xdr:row>
      <xdr:rowOff>0</xdr:rowOff>
    </xdr:to>
    <xdr:sp macro="" textlink="">
      <xdr:nvSpPr>
        <xdr:cNvPr id="2492" name="Option Button 2491">
          <a:extLst>
            <a:ext uri="{FF2B5EF4-FFF2-40B4-BE49-F238E27FC236}">
              <a16:creationId xmlns:a16="http://schemas.microsoft.com/office/drawing/2014/main" id="{00000000-0008-0000-3200-0000B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3" name="Option Button 2492">
          <a:extLst>
            <a:ext uri="{FF2B5EF4-FFF2-40B4-BE49-F238E27FC236}">
              <a16:creationId xmlns:a16="http://schemas.microsoft.com/office/drawing/2014/main" id="{00000000-0008-0000-3200-0000B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4" name="Option Button 2493">
          <a:extLst>
            <a:ext uri="{FF2B5EF4-FFF2-40B4-BE49-F238E27FC236}">
              <a16:creationId xmlns:a16="http://schemas.microsoft.com/office/drawing/2014/main" id="{00000000-0008-0000-3200-0000B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5" name="Option Button 2494">
          <a:extLst>
            <a:ext uri="{FF2B5EF4-FFF2-40B4-BE49-F238E27FC236}">
              <a16:creationId xmlns:a16="http://schemas.microsoft.com/office/drawing/2014/main" id="{00000000-0008-0000-3200-0000B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6" name="Group Box 2495" descr="Group Box 5">
          <a:extLst>
            <a:ext uri="{FF2B5EF4-FFF2-40B4-BE49-F238E27FC236}">
              <a16:creationId xmlns:a16="http://schemas.microsoft.com/office/drawing/2014/main" id="{00000000-0008-0000-3200-0000C0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519</xdr:row>
      <xdr:rowOff>28440</xdr:rowOff>
    </xdr:from>
    <xdr:to>
      <xdr:col>7</xdr:col>
      <xdr:colOff>-363960</xdr:colOff>
      <xdr:row>520</xdr:row>
      <xdr:rowOff>0</xdr:rowOff>
    </xdr:to>
    <xdr:sp macro="" textlink="">
      <xdr:nvSpPr>
        <xdr:cNvPr id="2497" name="Option Button 2496">
          <a:extLst>
            <a:ext uri="{FF2B5EF4-FFF2-40B4-BE49-F238E27FC236}">
              <a16:creationId xmlns:a16="http://schemas.microsoft.com/office/drawing/2014/main" id="{00000000-0008-0000-3200-0000C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8" name="Option Button 2497">
          <a:extLst>
            <a:ext uri="{FF2B5EF4-FFF2-40B4-BE49-F238E27FC236}">
              <a16:creationId xmlns:a16="http://schemas.microsoft.com/office/drawing/2014/main" id="{00000000-0008-0000-3200-0000C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9" name="Option Button 2498">
          <a:extLst>
            <a:ext uri="{FF2B5EF4-FFF2-40B4-BE49-F238E27FC236}">
              <a16:creationId xmlns:a16="http://schemas.microsoft.com/office/drawing/2014/main" id="{00000000-0008-0000-3200-0000C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0" name="Option Button 2499">
          <a:extLst>
            <a:ext uri="{FF2B5EF4-FFF2-40B4-BE49-F238E27FC236}">
              <a16:creationId xmlns:a16="http://schemas.microsoft.com/office/drawing/2014/main" id="{00000000-0008-0000-3200-0000C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1" name="Group Box 2500" descr="Group Box 5">
          <a:extLst>
            <a:ext uri="{FF2B5EF4-FFF2-40B4-BE49-F238E27FC236}">
              <a16:creationId xmlns:a16="http://schemas.microsoft.com/office/drawing/2014/main" id="{00000000-0008-0000-3200-0000C5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520</xdr:row>
      <xdr:rowOff>28440</xdr:rowOff>
    </xdr:from>
    <xdr:to>
      <xdr:col>7</xdr:col>
      <xdr:colOff>-363960</xdr:colOff>
      <xdr:row>521</xdr:row>
      <xdr:rowOff>0</xdr:rowOff>
    </xdr:to>
    <xdr:sp macro="" textlink="">
      <xdr:nvSpPr>
        <xdr:cNvPr id="2502" name="Option Button 2501">
          <a:extLst>
            <a:ext uri="{FF2B5EF4-FFF2-40B4-BE49-F238E27FC236}">
              <a16:creationId xmlns:a16="http://schemas.microsoft.com/office/drawing/2014/main" id="{00000000-0008-0000-3200-0000C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3" name="Option Button 2502">
          <a:extLst>
            <a:ext uri="{FF2B5EF4-FFF2-40B4-BE49-F238E27FC236}">
              <a16:creationId xmlns:a16="http://schemas.microsoft.com/office/drawing/2014/main" id="{00000000-0008-0000-3200-0000C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4" name="Option Button 2503">
          <a:extLst>
            <a:ext uri="{FF2B5EF4-FFF2-40B4-BE49-F238E27FC236}">
              <a16:creationId xmlns:a16="http://schemas.microsoft.com/office/drawing/2014/main" id="{00000000-0008-0000-3200-0000C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5" name="Option Button 2504">
          <a:extLst>
            <a:ext uri="{FF2B5EF4-FFF2-40B4-BE49-F238E27FC236}">
              <a16:creationId xmlns:a16="http://schemas.microsoft.com/office/drawing/2014/main" id="{00000000-0008-0000-3200-0000C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6" name="Group Box 2505" descr="Group Box 5">
          <a:extLst>
            <a:ext uri="{FF2B5EF4-FFF2-40B4-BE49-F238E27FC236}">
              <a16:creationId xmlns:a16="http://schemas.microsoft.com/office/drawing/2014/main" id="{00000000-0008-0000-3200-0000CA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521</xdr:row>
      <xdr:rowOff>28440</xdr:rowOff>
    </xdr:from>
    <xdr:to>
      <xdr:col>7</xdr:col>
      <xdr:colOff>-363960</xdr:colOff>
      <xdr:row>522</xdr:row>
      <xdr:rowOff>0</xdr:rowOff>
    </xdr:to>
    <xdr:sp macro="" textlink="">
      <xdr:nvSpPr>
        <xdr:cNvPr id="2507" name="Option Button 2506">
          <a:extLst>
            <a:ext uri="{FF2B5EF4-FFF2-40B4-BE49-F238E27FC236}">
              <a16:creationId xmlns:a16="http://schemas.microsoft.com/office/drawing/2014/main" id="{00000000-0008-0000-3200-0000C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8" name="Option Button 2507">
          <a:extLst>
            <a:ext uri="{FF2B5EF4-FFF2-40B4-BE49-F238E27FC236}">
              <a16:creationId xmlns:a16="http://schemas.microsoft.com/office/drawing/2014/main" id="{00000000-0008-0000-3200-0000C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9" name="Option Button 2508">
          <a:extLst>
            <a:ext uri="{FF2B5EF4-FFF2-40B4-BE49-F238E27FC236}">
              <a16:creationId xmlns:a16="http://schemas.microsoft.com/office/drawing/2014/main" id="{00000000-0008-0000-3200-0000C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0" name="Option Button 2509">
          <a:extLst>
            <a:ext uri="{FF2B5EF4-FFF2-40B4-BE49-F238E27FC236}">
              <a16:creationId xmlns:a16="http://schemas.microsoft.com/office/drawing/2014/main" id="{00000000-0008-0000-3200-0000C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1" name="Group Box 2510" descr="Group Box 5">
          <a:extLst>
            <a:ext uri="{FF2B5EF4-FFF2-40B4-BE49-F238E27FC236}">
              <a16:creationId xmlns:a16="http://schemas.microsoft.com/office/drawing/2014/main" id="{00000000-0008-0000-3200-0000CF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522</xdr:row>
      <xdr:rowOff>28440</xdr:rowOff>
    </xdr:from>
    <xdr:to>
      <xdr:col>7</xdr:col>
      <xdr:colOff>-363960</xdr:colOff>
      <xdr:row>523</xdr:row>
      <xdr:rowOff>0</xdr:rowOff>
    </xdr:to>
    <xdr:sp macro="" textlink="">
      <xdr:nvSpPr>
        <xdr:cNvPr id="2512" name="Option Button 2511">
          <a:extLst>
            <a:ext uri="{FF2B5EF4-FFF2-40B4-BE49-F238E27FC236}">
              <a16:creationId xmlns:a16="http://schemas.microsoft.com/office/drawing/2014/main" id="{00000000-0008-0000-3200-0000D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3" name="Option Button 2512">
          <a:extLst>
            <a:ext uri="{FF2B5EF4-FFF2-40B4-BE49-F238E27FC236}">
              <a16:creationId xmlns:a16="http://schemas.microsoft.com/office/drawing/2014/main" id="{00000000-0008-0000-3200-0000D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4" name="Option Button 2513">
          <a:extLst>
            <a:ext uri="{FF2B5EF4-FFF2-40B4-BE49-F238E27FC236}">
              <a16:creationId xmlns:a16="http://schemas.microsoft.com/office/drawing/2014/main" id="{00000000-0008-0000-3200-0000D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5" name="Option Button 2514">
          <a:extLst>
            <a:ext uri="{FF2B5EF4-FFF2-40B4-BE49-F238E27FC236}">
              <a16:creationId xmlns:a16="http://schemas.microsoft.com/office/drawing/2014/main" id="{00000000-0008-0000-3200-0000D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6" name="Group Box 2515" descr="Group Box 5">
          <a:extLst>
            <a:ext uri="{FF2B5EF4-FFF2-40B4-BE49-F238E27FC236}">
              <a16:creationId xmlns:a16="http://schemas.microsoft.com/office/drawing/2014/main" id="{00000000-0008-0000-3200-0000D4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523</xdr:row>
      <xdr:rowOff>28440</xdr:rowOff>
    </xdr:from>
    <xdr:to>
      <xdr:col>7</xdr:col>
      <xdr:colOff>-363960</xdr:colOff>
      <xdr:row>524</xdr:row>
      <xdr:rowOff>0</xdr:rowOff>
    </xdr:to>
    <xdr:sp macro="" textlink="">
      <xdr:nvSpPr>
        <xdr:cNvPr id="2517" name="Option Button 2516">
          <a:extLst>
            <a:ext uri="{FF2B5EF4-FFF2-40B4-BE49-F238E27FC236}">
              <a16:creationId xmlns:a16="http://schemas.microsoft.com/office/drawing/2014/main" id="{00000000-0008-0000-3200-0000D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8" name="Option Button 2517">
          <a:extLst>
            <a:ext uri="{FF2B5EF4-FFF2-40B4-BE49-F238E27FC236}">
              <a16:creationId xmlns:a16="http://schemas.microsoft.com/office/drawing/2014/main" id="{00000000-0008-0000-3200-0000D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9" name="Option Button 2518">
          <a:extLst>
            <a:ext uri="{FF2B5EF4-FFF2-40B4-BE49-F238E27FC236}">
              <a16:creationId xmlns:a16="http://schemas.microsoft.com/office/drawing/2014/main" id="{00000000-0008-0000-3200-0000D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0" name="Option Button 2519">
          <a:extLst>
            <a:ext uri="{FF2B5EF4-FFF2-40B4-BE49-F238E27FC236}">
              <a16:creationId xmlns:a16="http://schemas.microsoft.com/office/drawing/2014/main" id="{00000000-0008-0000-3200-0000D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1" name="Group Box 2520" descr="Group Box 5">
          <a:extLst>
            <a:ext uri="{FF2B5EF4-FFF2-40B4-BE49-F238E27FC236}">
              <a16:creationId xmlns:a16="http://schemas.microsoft.com/office/drawing/2014/main" id="{00000000-0008-0000-3200-0000D9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524</xdr:row>
      <xdr:rowOff>28440</xdr:rowOff>
    </xdr:from>
    <xdr:to>
      <xdr:col>7</xdr:col>
      <xdr:colOff>-363960</xdr:colOff>
      <xdr:row>525</xdr:row>
      <xdr:rowOff>0</xdr:rowOff>
    </xdr:to>
    <xdr:sp macro="" textlink="">
      <xdr:nvSpPr>
        <xdr:cNvPr id="2522" name="Option Button 2521">
          <a:extLst>
            <a:ext uri="{FF2B5EF4-FFF2-40B4-BE49-F238E27FC236}">
              <a16:creationId xmlns:a16="http://schemas.microsoft.com/office/drawing/2014/main" id="{00000000-0008-0000-3200-0000D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3" name="Option Button 2522">
          <a:extLst>
            <a:ext uri="{FF2B5EF4-FFF2-40B4-BE49-F238E27FC236}">
              <a16:creationId xmlns:a16="http://schemas.microsoft.com/office/drawing/2014/main" id="{00000000-0008-0000-3200-0000D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4" name="Option Button 2523">
          <a:extLst>
            <a:ext uri="{FF2B5EF4-FFF2-40B4-BE49-F238E27FC236}">
              <a16:creationId xmlns:a16="http://schemas.microsoft.com/office/drawing/2014/main" id="{00000000-0008-0000-3200-0000D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5" name="Option Button 2524">
          <a:extLst>
            <a:ext uri="{FF2B5EF4-FFF2-40B4-BE49-F238E27FC236}">
              <a16:creationId xmlns:a16="http://schemas.microsoft.com/office/drawing/2014/main" id="{00000000-0008-0000-3200-0000D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6" name="Group Box 2525" descr="Group Box 5">
          <a:extLst>
            <a:ext uri="{FF2B5EF4-FFF2-40B4-BE49-F238E27FC236}">
              <a16:creationId xmlns:a16="http://schemas.microsoft.com/office/drawing/2014/main" id="{00000000-0008-0000-3200-0000DE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525</xdr:row>
      <xdr:rowOff>28440</xdr:rowOff>
    </xdr:from>
    <xdr:to>
      <xdr:col>7</xdr:col>
      <xdr:colOff>-363960</xdr:colOff>
      <xdr:row>526</xdr:row>
      <xdr:rowOff>0</xdr:rowOff>
    </xdr:to>
    <xdr:sp macro="" textlink="">
      <xdr:nvSpPr>
        <xdr:cNvPr id="2527" name="Option Button 2526">
          <a:extLst>
            <a:ext uri="{FF2B5EF4-FFF2-40B4-BE49-F238E27FC236}">
              <a16:creationId xmlns:a16="http://schemas.microsoft.com/office/drawing/2014/main" id="{00000000-0008-0000-3200-0000D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8" name="Option Button 2527">
          <a:extLst>
            <a:ext uri="{FF2B5EF4-FFF2-40B4-BE49-F238E27FC236}">
              <a16:creationId xmlns:a16="http://schemas.microsoft.com/office/drawing/2014/main" id="{00000000-0008-0000-3200-0000E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9" name="Option Button 2528">
          <a:extLst>
            <a:ext uri="{FF2B5EF4-FFF2-40B4-BE49-F238E27FC236}">
              <a16:creationId xmlns:a16="http://schemas.microsoft.com/office/drawing/2014/main" id="{00000000-0008-0000-3200-0000E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0" name="Option Button 2529">
          <a:extLst>
            <a:ext uri="{FF2B5EF4-FFF2-40B4-BE49-F238E27FC236}">
              <a16:creationId xmlns:a16="http://schemas.microsoft.com/office/drawing/2014/main" id="{00000000-0008-0000-3200-0000E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1" name="Group Box 2530" descr="Group Box 5">
          <a:extLst>
            <a:ext uri="{FF2B5EF4-FFF2-40B4-BE49-F238E27FC236}">
              <a16:creationId xmlns:a16="http://schemas.microsoft.com/office/drawing/2014/main" id="{00000000-0008-0000-3200-0000E3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526</xdr:row>
      <xdr:rowOff>28440</xdr:rowOff>
    </xdr:from>
    <xdr:to>
      <xdr:col>7</xdr:col>
      <xdr:colOff>-363960</xdr:colOff>
      <xdr:row>527</xdr:row>
      <xdr:rowOff>0</xdr:rowOff>
    </xdr:to>
    <xdr:sp macro="" textlink="">
      <xdr:nvSpPr>
        <xdr:cNvPr id="2532" name="Option Button 2531">
          <a:extLst>
            <a:ext uri="{FF2B5EF4-FFF2-40B4-BE49-F238E27FC236}">
              <a16:creationId xmlns:a16="http://schemas.microsoft.com/office/drawing/2014/main" id="{00000000-0008-0000-3200-0000E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3" name="Option Button 2532">
          <a:extLst>
            <a:ext uri="{FF2B5EF4-FFF2-40B4-BE49-F238E27FC236}">
              <a16:creationId xmlns:a16="http://schemas.microsoft.com/office/drawing/2014/main" id="{00000000-0008-0000-3200-0000E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4" name="Option Button 2533">
          <a:extLst>
            <a:ext uri="{FF2B5EF4-FFF2-40B4-BE49-F238E27FC236}">
              <a16:creationId xmlns:a16="http://schemas.microsoft.com/office/drawing/2014/main" id="{00000000-0008-0000-3200-0000E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5" name="Option Button 2534">
          <a:extLst>
            <a:ext uri="{FF2B5EF4-FFF2-40B4-BE49-F238E27FC236}">
              <a16:creationId xmlns:a16="http://schemas.microsoft.com/office/drawing/2014/main" id="{00000000-0008-0000-3200-0000E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6" name="Group Box 2535" descr="Group Box 5">
          <a:extLst>
            <a:ext uri="{FF2B5EF4-FFF2-40B4-BE49-F238E27FC236}">
              <a16:creationId xmlns:a16="http://schemas.microsoft.com/office/drawing/2014/main" id="{00000000-0008-0000-3200-0000E8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527</xdr:row>
      <xdr:rowOff>28440</xdr:rowOff>
    </xdr:from>
    <xdr:to>
      <xdr:col>7</xdr:col>
      <xdr:colOff>-363960</xdr:colOff>
      <xdr:row>528</xdr:row>
      <xdr:rowOff>0</xdr:rowOff>
    </xdr:to>
    <xdr:sp macro="" textlink="">
      <xdr:nvSpPr>
        <xdr:cNvPr id="2537" name="Option Button 2536">
          <a:extLst>
            <a:ext uri="{FF2B5EF4-FFF2-40B4-BE49-F238E27FC236}">
              <a16:creationId xmlns:a16="http://schemas.microsoft.com/office/drawing/2014/main" id="{00000000-0008-0000-3200-0000E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8" name="Option Button 2537">
          <a:extLst>
            <a:ext uri="{FF2B5EF4-FFF2-40B4-BE49-F238E27FC236}">
              <a16:creationId xmlns:a16="http://schemas.microsoft.com/office/drawing/2014/main" id="{00000000-0008-0000-3200-0000E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9" name="Option Button 2538">
          <a:extLst>
            <a:ext uri="{FF2B5EF4-FFF2-40B4-BE49-F238E27FC236}">
              <a16:creationId xmlns:a16="http://schemas.microsoft.com/office/drawing/2014/main" id="{00000000-0008-0000-3200-0000E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0" name="Option Button 2539">
          <a:extLst>
            <a:ext uri="{FF2B5EF4-FFF2-40B4-BE49-F238E27FC236}">
              <a16:creationId xmlns:a16="http://schemas.microsoft.com/office/drawing/2014/main" id="{00000000-0008-0000-3200-0000E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1" name="Group Box 2540" descr="Group Box 5">
          <a:extLst>
            <a:ext uri="{FF2B5EF4-FFF2-40B4-BE49-F238E27FC236}">
              <a16:creationId xmlns:a16="http://schemas.microsoft.com/office/drawing/2014/main" id="{00000000-0008-0000-3200-0000ED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528</xdr:row>
      <xdr:rowOff>28440</xdr:rowOff>
    </xdr:from>
    <xdr:to>
      <xdr:col>7</xdr:col>
      <xdr:colOff>-363960</xdr:colOff>
      <xdr:row>529</xdr:row>
      <xdr:rowOff>0</xdr:rowOff>
    </xdr:to>
    <xdr:sp macro="" textlink="">
      <xdr:nvSpPr>
        <xdr:cNvPr id="2542" name="Option Button 2541">
          <a:extLst>
            <a:ext uri="{FF2B5EF4-FFF2-40B4-BE49-F238E27FC236}">
              <a16:creationId xmlns:a16="http://schemas.microsoft.com/office/drawing/2014/main" id="{00000000-0008-0000-3200-0000E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3" name="Option Button 2542">
          <a:extLst>
            <a:ext uri="{FF2B5EF4-FFF2-40B4-BE49-F238E27FC236}">
              <a16:creationId xmlns:a16="http://schemas.microsoft.com/office/drawing/2014/main" id="{00000000-0008-0000-3200-0000E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4" name="Option Button 2543">
          <a:extLst>
            <a:ext uri="{FF2B5EF4-FFF2-40B4-BE49-F238E27FC236}">
              <a16:creationId xmlns:a16="http://schemas.microsoft.com/office/drawing/2014/main" id="{00000000-0008-0000-3200-0000F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5" name="Option Button 2544">
          <a:extLst>
            <a:ext uri="{FF2B5EF4-FFF2-40B4-BE49-F238E27FC236}">
              <a16:creationId xmlns:a16="http://schemas.microsoft.com/office/drawing/2014/main" id="{00000000-0008-0000-3200-0000F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6" name="Group Box 2545" descr="Group Box 5">
          <a:extLst>
            <a:ext uri="{FF2B5EF4-FFF2-40B4-BE49-F238E27FC236}">
              <a16:creationId xmlns:a16="http://schemas.microsoft.com/office/drawing/2014/main" id="{00000000-0008-0000-3200-0000F2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529</xdr:row>
      <xdr:rowOff>28440</xdr:rowOff>
    </xdr:from>
    <xdr:to>
      <xdr:col>7</xdr:col>
      <xdr:colOff>-363960</xdr:colOff>
      <xdr:row>530</xdr:row>
      <xdr:rowOff>0</xdr:rowOff>
    </xdr:to>
    <xdr:sp macro="" textlink="">
      <xdr:nvSpPr>
        <xdr:cNvPr id="2547" name="Option Button 2546">
          <a:extLst>
            <a:ext uri="{FF2B5EF4-FFF2-40B4-BE49-F238E27FC236}">
              <a16:creationId xmlns:a16="http://schemas.microsoft.com/office/drawing/2014/main" id="{00000000-0008-0000-3200-0000F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8" name="Option Button 2547">
          <a:extLst>
            <a:ext uri="{FF2B5EF4-FFF2-40B4-BE49-F238E27FC236}">
              <a16:creationId xmlns:a16="http://schemas.microsoft.com/office/drawing/2014/main" id="{00000000-0008-0000-3200-0000F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9" name="Option Button 2548">
          <a:extLst>
            <a:ext uri="{FF2B5EF4-FFF2-40B4-BE49-F238E27FC236}">
              <a16:creationId xmlns:a16="http://schemas.microsoft.com/office/drawing/2014/main" id="{00000000-0008-0000-3200-0000F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0" name="Option Button 2549">
          <a:extLst>
            <a:ext uri="{FF2B5EF4-FFF2-40B4-BE49-F238E27FC236}">
              <a16:creationId xmlns:a16="http://schemas.microsoft.com/office/drawing/2014/main" id="{00000000-0008-0000-3200-0000F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1" name="Group Box 2550" descr="Group Box 5">
          <a:extLst>
            <a:ext uri="{FF2B5EF4-FFF2-40B4-BE49-F238E27FC236}">
              <a16:creationId xmlns:a16="http://schemas.microsoft.com/office/drawing/2014/main" id="{00000000-0008-0000-3200-0000F7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530</xdr:row>
      <xdr:rowOff>28440</xdr:rowOff>
    </xdr:from>
    <xdr:to>
      <xdr:col>7</xdr:col>
      <xdr:colOff>-363960</xdr:colOff>
      <xdr:row>531</xdr:row>
      <xdr:rowOff>0</xdr:rowOff>
    </xdr:to>
    <xdr:sp macro="" textlink="">
      <xdr:nvSpPr>
        <xdr:cNvPr id="2552" name="Option Button 2551">
          <a:extLst>
            <a:ext uri="{FF2B5EF4-FFF2-40B4-BE49-F238E27FC236}">
              <a16:creationId xmlns:a16="http://schemas.microsoft.com/office/drawing/2014/main" id="{00000000-0008-0000-3200-0000F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3" name="Option Button 2552">
          <a:extLst>
            <a:ext uri="{FF2B5EF4-FFF2-40B4-BE49-F238E27FC236}">
              <a16:creationId xmlns:a16="http://schemas.microsoft.com/office/drawing/2014/main" id="{00000000-0008-0000-3200-0000F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4" name="Option Button 2553">
          <a:extLst>
            <a:ext uri="{FF2B5EF4-FFF2-40B4-BE49-F238E27FC236}">
              <a16:creationId xmlns:a16="http://schemas.microsoft.com/office/drawing/2014/main" id="{00000000-0008-0000-3200-0000F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5" name="Option Button 2554">
          <a:extLst>
            <a:ext uri="{FF2B5EF4-FFF2-40B4-BE49-F238E27FC236}">
              <a16:creationId xmlns:a16="http://schemas.microsoft.com/office/drawing/2014/main" id="{00000000-0008-0000-3200-0000F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6" name="Group Box 2555" descr="Group Box 5">
          <a:extLst>
            <a:ext uri="{FF2B5EF4-FFF2-40B4-BE49-F238E27FC236}">
              <a16:creationId xmlns:a16="http://schemas.microsoft.com/office/drawing/2014/main" id="{00000000-0008-0000-3200-0000FC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531</xdr:row>
      <xdr:rowOff>28440</xdr:rowOff>
    </xdr:from>
    <xdr:to>
      <xdr:col>7</xdr:col>
      <xdr:colOff>-363960</xdr:colOff>
      <xdr:row>532</xdr:row>
      <xdr:rowOff>0</xdr:rowOff>
    </xdr:to>
    <xdr:sp macro="" textlink="">
      <xdr:nvSpPr>
        <xdr:cNvPr id="2557" name="Option Button 2556">
          <a:extLst>
            <a:ext uri="{FF2B5EF4-FFF2-40B4-BE49-F238E27FC236}">
              <a16:creationId xmlns:a16="http://schemas.microsoft.com/office/drawing/2014/main" id="{00000000-0008-0000-3200-0000F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8" name="Option Button 2557">
          <a:extLst>
            <a:ext uri="{FF2B5EF4-FFF2-40B4-BE49-F238E27FC236}">
              <a16:creationId xmlns:a16="http://schemas.microsoft.com/office/drawing/2014/main" id="{00000000-0008-0000-3200-0000F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9" name="Option Button 2558">
          <a:extLst>
            <a:ext uri="{FF2B5EF4-FFF2-40B4-BE49-F238E27FC236}">
              <a16:creationId xmlns:a16="http://schemas.microsoft.com/office/drawing/2014/main" id="{00000000-0008-0000-3200-0000F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0" name="Option Button 2559">
          <a:extLst>
            <a:ext uri="{FF2B5EF4-FFF2-40B4-BE49-F238E27FC236}">
              <a16:creationId xmlns:a16="http://schemas.microsoft.com/office/drawing/2014/main" id="{00000000-0008-0000-3200-00000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1" name="Group Box 2560" descr="Group Box 5">
          <a:extLst>
            <a:ext uri="{FF2B5EF4-FFF2-40B4-BE49-F238E27FC236}">
              <a16:creationId xmlns:a16="http://schemas.microsoft.com/office/drawing/2014/main" id="{00000000-0008-0000-3200-000001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532</xdr:row>
      <xdr:rowOff>28440</xdr:rowOff>
    </xdr:from>
    <xdr:to>
      <xdr:col>7</xdr:col>
      <xdr:colOff>-363960</xdr:colOff>
      <xdr:row>533</xdr:row>
      <xdr:rowOff>0</xdr:rowOff>
    </xdr:to>
    <xdr:sp macro="" textlink="">
      <xdr:nvSpPr>
        <xdr:cNvPr id="2562" name="Option Button 2561">
          <a:extLst>
            <a:ext uri="{FF2B5EF4-FFF2-40B4-BE49-F238E27FC236}">
              <a16:creationId xmlns:a16="http://schemas.microsoft.com/office/drawing/2014/main" id="{00000000-0008-0000-3200-00000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3" name="Option Button 2562">
          <a:extLst>
            <a:ext uri="{FF2B5EF4-FFF2-40B4-BE49-F238E27FC236}">
              <a16:creationId xmlns:a16="http://schemas.microsoft.com/office/drawing/2014/main" id="{00000000-0008-0000-3200-00000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4" name="Option Button 2563">
          <a:extLst>
            <a:ext uri="{FF2B5EF4-FFF2-40B4-BE49-F238E27FC236}">
              <a16:creationId xmlns:a16="http://schemas.microsoft.com/office/drawing/2014/main" id="{00000000-0008-0000-3200-00000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5" name="Option Button 2564">
          <a:extLst>
            <a:ext uri="{FF2B5EF4-FFF2-40B4-BE49-F238E27FC236}">
              <a16:creationId xmlns:a16="http://schemas.microsoft.com/office/drawing/2014/main" id="{00000000-0008-0000-3200-00000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6" name="Group Box 2565" descr="Group Box 5">
          <a:extLst>
            <a:ext uri="{FF2B5EF4-FFF2-40B4-BE49-F238E27FC236}">
              <a16:creationId xmlns:a16="http://schemas.microsoft.com/office/drawing/2014/main" id="{00000000-0008-0000-3200-000006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533</xdr:row>
      <xdr:rowOff>28440</xdr:rowOff>
    </xdr:from>
    <xdr:to>
      <xdr:col>7</xdr:col>
      <xdr:colOff>-363960</xdr:colOff>
      <xdr:row>534</xdr:row>
      <xdr:rowOff>0</xdr:rowOff>
    </xdr:to>
    <xdr:sp macro="" textlink="">
      <xdr:nvSpPr>
        <xdr:cNvPr id="2567" name="Option Button 2566">
          <a:extLst>
            <a:ext uri="{FF2B5EF4-FFF2-40B4-BE49-F238E27FC236}">
              <a16:creationId xmlns:a16="http://schemas.microsoft.com/office/drawing/2014/main" id="{00000000-0008-0000-3200-00000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8" name="Option Button 2567">
          <a:extLst>
            <a:ext uri="{FF2B5EF4-FFF2-40B4-BE49-F238E27FC236}">
              <a16:creationId xmlns:a16="http://schemas.microsoft.com/office/drawing/2014/main" id="{00000000-0008-0000-3200-00000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9" name="Option Button 2568">
          <a:extLst>
            <a:ext uri="{FF2B5EF4-FFF2-40B4-BE49-F238E27FC236}">
              <a16:creationId xmlns:a16="http://schemas.microsoft.com/office/drawing/2014/main" id="{00000000-0008-0000-3200-00000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0" name="Option Button 2569">
          <a:extLst>
            <a:ext uri="{FF2B5EF4-FFF2-40B4-BE49-F238E27FC236}">
              <a16:creationId xmlns:a16="http://schemas.microsoft.com/office/drawing/2014/main" id="{00000000-0008-0000-3200-00000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1" name="Group Box 2570" descr="Group Box 5">
          <a:extLst>
            <a:ext uri="{FF2B5EF4-FFF2-40B4-BE49-F238E27FC236}">
              <a16:creationId xmlns:a16="http://schemas.microsoft.com/office/drawing/2014/main" id="{00000000-0008-0000-3200-00000B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534</xdr:row>
      <xdr:rowOff>28440</xdr:rowOff>
    </xdr:from>
    <xdr:to>
      <xdr:col>7</xdr:col>
      <xdr:colOff>-363960</xdr:colOff>
      <xdr:row>535</xdr:row>
      <xdr:rowOff>0</xdr:rowOff>
    </xdr:to>
    <xdr:sp macro="" textlink="">
      <xdr:nvSpPr>
        <xdr:cNvPr id="2572" name="Option Button 2571">
          <a:extLst>
            <a:ext uri="{FF2B5EF4-FFF2-40B4-BE49-F238E27FC236}">
              <a16:creationId xmlns:a16="http://schemas.microsoft.com/office/drawing/2014/main" id="{00000000-0008-0000-3200-00000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3" name="Option Button 2572">
          <a:extLst>
            <a:ext uri="{FF2B5EF4-FFF2-40B4-BE49-F238E27FC236}">
              <a16:creationId xmlns:a16="http://schemas.microsoft.com/office/drawing/2014/main" id="{00000000-0008-0000-3200-00000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4" name="Option Button 2573">
          <a:extLst>
            <a:ext uri="{FF2B5EF4-FFF2-40B4-BE49-F238E27FC236}">
              <a16:creationId xmlns:a16="http://schemas.microsoft.com/office/drawing/2014/main" id="{00000000-0008-0000-3200-00000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5" name="Option Button 2574">
          <a:extLst>
            <a:ext uri="{FF2B5EF4-FFF2-40B4-BE49-F238E27FC236}">
              <a16:creationId xmlns:a16="http://schemas.microsoft.com/office/drawing/2014/main" id="{00000000-0008-0000-3200-00000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6" name="Group Box 2575" descr="Group Box 5">
          <a:extLst>
            <a:ext uri="{FF2B5EF4-FFF2-40B4-BE49-F238E27FC236}">
              <a16:creationId xmlns:a16="http://schemas.microsoft.com/office/drawing/2014/main" id="{00000000-0008-0000-3200-000010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535</xdr:row>
      <xdr:rowOff>28440</xdr:rowOff>
    </xdr:from>
    <xdr:to>
      <xdr:col>7</xdr:col>
      <xdr:colOff>-363960</xdr:colOff>
      <xdr:row>536</xdr:row>
      <xdr:rowOff>0</xdr:rowOff>
    </xdr:to>
    <xdr:sp macro="" textlink="">
      <xdr:nvSpPr>
        <xdr:cNvPr id="2577" name="Option Button 2576">
          <a:extLst>
            <a:ext uri="{FF2B5EF4-FFF2-40B4-BE49-F238E27FC236}">
              <a16:creationId xmlns:a16="http://schemas.microsoft.com/office/drawing/2014/main" id="{00000000-0008-0000-3200-00001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8" name="Option Button 2577">
          <a:extLst>
            <a:ext uri="{FF2B5EF4-FFF2-40B4-BE49-F238E27FC236}">
              <a16:creationId xmlns:a16="http://schemas.microsoft.com/office/drawing/2014/main" id="{00000000-0008-0000-3200-00001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9" name="Option Button 2578">
          <a:extLst>
            <a:ext uri="{FF2B5EF4-FFF2-40B4-BE49-F238E27FC236}">
              <a16:creationId xmlns:a16="http://schemas.microsoft.com/office/drawing/2014/main" id="{00000000-0008-0000-3200-00001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0" name="Option Button 2579">
          <a:extLst>
            <a:ext uri="{FF2B5EF4-FFF2-40B4-BE49-F238E27FC236}">
              <a16:creationId xmlns:a16="http://schemas.microsoft.com/office/drawing/2014/main" id="{00000000-0008-0000-3200-00001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1" name="Group Box 2580" descr="Group Box 5">
          <a:extLst>
            <a:ext uri="{FF2B5EF4-FFF2-40B4-BE49-F238E27FC236}">
              <a16:creationId xmlns:a16="http://schemas.microsoft.com/office/drawing/2014/main" id="{00000000-0008-0000-3200-000015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536</xdr:row>
      <xdr:rowOff>28440</xdr:rowOff>
    </xdr:from>
    <xdr:to>
      <xdr:col>7</xdr:col>
      <xdr:colOff>-363960</xdr:colOff>
      <xdr:row>537</xdr:row>
      <xdr:rowOff>0</xdr:rowOff>
    </xdr:to>
    <xdr:sp macro="" textlink="">
      <xdr:nvSpPr>
        <xdr:cNvPr id="2582" name="Option Button 2581">
          <a:extLst>
            <a:ext uri="{FF2B5EF4-FFF2-40B4-BE49-F238E27FC236}">
              <a16:creationId xmlns:a16="http://schemas.microsoft.com/office/drawing/2014/main" id="{00000000-0008-0000-3200-00001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3" name="Option Button 2582">
          <a:extLst>
            <a:ext uri="{FF2B5EF4-FFF2-40B4-BE49-F238E27FC236}">
              <a16:creationId xmlns:a16="http://schemas.microsoft.com/office/drawing/2014/main" id="{00000000-0008-0000-3200-00001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4" name="Option Button 2583">
          <a:extLst>
            <a:ext uri="{FF2B5EF4-FFF2-40B4-BE49-F238E27FC236}">
              <a16:creationId xmlns:a16="http://schemas.microsoft.com/office/drawing/2014/main" id="{00000000-0008-0000-3200-00001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5" name="Option Button 2584">
          <a:extLst>
            <a:ext uri="{FF2B5EF4-FFF2-40B4-BE49-F238E27FC236}">
              <a16:creationId xmlns:a16="http://schemas.microsoft.com/office/drawing/2014/main" id="{00000000-0008-0000-3200-00001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6" name="Group Box 2585" descr="Group Box 5">
          <a:extLst>
            <a:ext uri="{FF2B5EF4-FFF2-40B4-BE49-F238E27FC236}">
              <a16:creationId xmlns:a16="http://schemas.microsoft.com/office/drawing/2014/main" id="{00000000-0008-0000-3200-00001A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537</xdr:row>
      <xdr:rowOff>28440</xdr:rowOff>
    </xdr:from>
    <xdr:to>
      <xdr:col>7</xdr:col>
      <xdr:colOff>-363960</xdr:colOff>
      <xdr:row>538</xdr:row>
      <xdr:rowOff>0</xdr:rowOff>
    </xdr:to>
    <xdr:sp macro="" textlink="">
      <xdr:nvSpPr>
        <xdr:cNvPr id="2587" name="Option Button 2586">
          <a:extLst>
            <a:ext uri="{FF2B5EF4-FFF2-40B4-BE49-F238E27FC236}">
              <a16:creationId xmlns:a16="http://schemas.microsoft.com/office/drawing/2014/main" id="{00000000-0008-0000-3200-00001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8" name="Option Button 2587">
          <a:extLst>
            <a:ext uri="{FF2B5EF4-FFF2-40B4-BE49-F238E27FC236}">
              <a16:creationId xmlns:a16="http://schemas.microsoft.com/office/drawing/2014/main" id="{00000000-0008-0000-3200-00001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9" name="Option Button 2588">
          <a:extLst>
            <a:ext uri="{FF2B5EF4-FFF2-40B4-BE49-F238E27FC236}">
              <a16:creationId xmlns:a16="http://schemas.microsoft.com/office/drawing/2014/main" id="{00000000-0008-0000-3200-00001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0" name="Option Button 2589">
          <a:extLst>
            <a:ext uri="{FF2B5EF4-FFF2-40B4-BE49-F238E27FC236}">
              <a16:creationId xmlns:a16="http://schemas.microsoft.com/office/drawing/2014/main" id="{00000000-0008-0000-3200-00001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1" name="Group Box 2590" descr="Group Box 5">
          <a:extLst>
            <a:ext uri="{FF2B5EF4-FFF2-40B4-BE49-F238E27FC236}">
              <a16:creationId xmlns:a16="http://schemas.microsoft.com/office/drawing/2014/main" id="{00000000-0008-0000-3200-00001F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538</xdr:row>
      <xdr:rowOff>28440</xdr:rowOff>
    </xdr:from>
    <xdr:to>
      <xdr:col>7</xdr:col>
      <xdr:colOff>-363960</xdr:colOff>
      <xdr:row>539</xdr:row>
      <xdr:rowOff>0</xdr:rowOff>
    </xdr:to>
    <xdr:sp macro="" textlink="">
      <xdr:nvSpPr>
        <xdr:cNvPr id="2592" name="Option Button 2591">
          <a:extLst>
            <a:ext uri="{FF2B5EF4-FFF2-40B4-BE49-F238E27FC236}">
              <a16:creationId xmlns:a16="http://schemas.microsoft.com/office/drawing/2014/main" id="{00000000-0008-0000-3200-00002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3" name="Option Button 2592">
          <a:extLst>
            <a:ext uri="{FF2B5EF4-FFF2-40B4-BE49-F238E27FC236}">
              <a16:creationId xmlns:a16="http://schemas.microsoft.com/office/drawing/2014/main" id="{00000000-0008-0000-3200-00002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4" name="Option Button 2593">
          <a:extLst>
            <a:ext uri="{FF2B5EF4-FFF2-40B4-BE49-F238E27FC236}">
              <a16:creationId xmlns:a16="http://schemas.microsoft.com/office/drawing/2014/main" id="{00000000-0008-0000-3200-00002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5" name="Option Button 2594">
          <a:extLst>
            <a:ext uri="{FF2B5EF4-FFF2-40B4-BE49-F238E27FC236}">
              <a16:creationId xmlns:a16="http://schemas.microsoft.com/office/drawing/2014/main" id="{00000000-0008-0000-3200-00002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6" name="Group Box 2595" descr="Group Box 5">
          <a:extLst>
            <a:ext uri="{FF2B5EF4-FFF2-40B4-BE49-F238E27FC236}">
              <a16:creationId xmlns:a16="http://schemas.microsoft.com/office/drawing/2014/main" id="{00000000-0008-0000-3200-000024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539</xdr:row>
      <xdr:rowOff>28440</xdr:rowOff>
    </xdr:from>
    <xdr:to>
      <xdr:col>7</xdr:col>
      <xdr:colOff>-363960</xdr:colOff>
      <xdr:row>540</xdr:row>
      <xdr:rowOff>0</xdr:rowOff>
    </xdr:to>
    <xdr:sp macro="" textlink="">
      <xdr:nvSpPr>
        <xdr:cNvPr id="2597" name="Option Button 2596">
          <a:extLst>
            <a:ext uri="{FF2B5EF4-FFF2-40B4-BE49-F238E27FC236}">
              <a16:creationId xmlns:a16="http://schemas.microsoft.com/office/drawing/2014/main" id="{00000000-0008-0000-3200-00002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8" name="Option Button 2597">
          <a:extLst>
            <a:ext uri="{FF2B5EF4-FFF2-40B4-BE49-F238E27FC236}">
              <a16:creationId xmlns:a16="http://schemas.microsoft.com/office/drawing/2014/main" id="{00000000-0008-0000-3200-00002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9" name="Option Button 2598">
          <a:extLst>
            <a:ext uri="{FF2B5EF4-FFF2-40B4-BE49-F238E27FC236}">
              <a16:creationId xmlns:a16="http://schemas.microsoft.com/office/drawing/2014/main" id="{00000000-0008-0000-3200-00002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0" name="Option Button 2599">
          <a:extLst>
            <a:ext uri="{FF2B5EF4-FFF2-40B4-BE49-F238E27FC236}">
              <a16:creationId xmlns:a16="http://schemas.microsoft.com/office/drawing/2014/main" id="{00000000-0008-0000-3200-00002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1" name="Group Box 2600" descr="Group Box 5">
          <a:extLst>
            <a:ext uri="{FF2B5EF4-FFF2-40B4-BE49-F238E27FC236}">
              <a16:creationId xmlns:a16="http://schemas.microsoft.com/office/drawing/2014/main" id="{00000000-0008-0000-3200-000029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540</xdr:row>
      <xdr:rowOff>28440</xdr:rowOff>
    </xdr:from>
    <xdr:to>
      <xdr:col>7</xdr:col>
      <xdr:colOff>-363960</xdr:colOff>
      <xdr:row>541</xdr:row>
      <xdr:rowOff>0</xdr:rowOff>
    </xdr:to>
    <xdr:sp macro="" textlink="">
      <xdr:nvSpPr>
        <xdr:cNvPr id="2602" name="Option Button 2601">
          <a:extLst>
            <a:ext uri="{FF2B5EF4-FFF2-40B4-BE49-F238E27FC236}">
              <a16:creationId xmlns:a16="http://schemas.microsoft.com/office/drawing/2014/main" id="{00000000-0008-0000-3200-00002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3" name="Option Button 2602">
          <a:extLst>
            <a:ext uri="{FF2B5EF4-FFF2-40B4-BE49-F238E27FC236}">
              <a16:creationId xmlns:a16="http://schemas.microsoft.com/office/drawing/2014/main" id="{00000000-0008-0000-3200-00002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4" name="Option Button 2603">
          <a:extLst>
            <a:ext uri="{FF2B5EF4-FFF2-40B4-BE49-F238E27FC236}">
              <a16:creationId xmlns:a16="http://schemas.microsoft.com/office/drawing/2014/main" id="{00000000-0008-0000-3200-00002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5" name="Option Button 2604">
          <a:extLst>
            <a:ext uri="{FF2B5EF4-FFF2-40B4-BE49-F238E27FC236}">
              <a16:creationId xmlns:a16="http://schemas.microsoft.com/office/drawing/2014/main" id="{00000000-0008-0000-3200-00002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6" name="Group Box 2605" descr="Group Box 5">
          <a:extLst>
            <a:ext uri="{FF2B5EF4-FFF2-40B4-BE49-F238E27FC236}">
              <a16:creationId xmlns:a16="http://schemas.microsoft.com/office/drawing/2014/main" id="{00000000-0008-0000-3200-00002E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541</xdr:row>
      <xdr:rowOff>28440</xdr:rowOff>
    </xdr:from>
    <xdr:to>
      <xdr:col>7</xdr:col>
      <xdr:colOff>-363960</xdr:colOff>
      <xdr:row>542</xdr:row>
      <xdr:rowOff>0</xdr:rowOff>
    </xdr:to>
    <xdr:sp macro="" textlink="">
      <xdr:nvSpPr>
        <xdr:cNvPr id="2607" name="Option Button 2606">
          <a:extLst>
            <a:ext uri="{FF2B5EF4-FFF2-40B4-BE49-F238E27FC236}">
              <a16:creationId xmlns:a16="http://schemas.microsoft.com/office/drawing/2014/main" id="{00000000-0008-0000-3200-00002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8" name="Option Button 2607">
          <a:extLst>
            <a:ext uri="{FF2B5EF4-FFF2-40B4-BE49-F238E27FC236}">
              <a16:creationId xmlns:a16="http://schemas.microsoft.com/office/drawing/2014/main" id="{00000000-0008-0000-3200-00003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9" name="Option Button 2608">
          <a:extLst>
            <a:ext uri="{FF2B5EF4-FFF2-40B4-BE49-F238E27FC236}">
              <a16:creationId xmlns:a16="http://schemas.microsoft.com/office/drawing/2014/main" id="{00000000-0008-0000-3200-00003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0" name="Option Button 2609">
          <a:extLst>
            <a:ext uri="{FF2B5EF4-FFF2-40B4-BE49-F238E27FC236}">
              <a16:creationId xmlns:a16="http://schemas.microsoft.com/office/drawing/2014/main" id="{00000000-0008-0000-3200-00003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1" name="Group Box 2610" descr="Group Box 5">
          <a:extLst>
            <a:ext uri="{FF2B5EF4-FFF2-40B4-BE49-F238E27FC236}">
              <a16:creationId xmlns:a16="http://schemas.microsoft.com/office/drawing/2014/main" id="{00000000-0008-0000-3200-000033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542</xdr:row>
      <xdr:rowOff>28440</xdr:rowOff>
    </xdr:from>
    <xdr:to>
      <xdr:col>7</xdr:col>
      <xdr:colOff>-363960</xdr:colOff>
      <xdr:row>543</xdr:row>
      <xdr:rowOff>0</xdr:rowOff>
    </xdr:to>
    <xdr:sp macro="" textlink="">
      <xdr:nvSpPr>
        <xdr:cNvPr id="2612" name="Option Button 2611">
          <a:extLst>
            <a:ext uri="{FF2B5EF4-FFF2-40B4-BE49-F238E27FC236}">
              <a16:creationId xmlns:a16="http://schemas.microsoft.com/office/drawing/2014/main" id="{00000000-0008-0000-3200-00003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3" name="Option Button 2612">
          <a:extLst>
            <a:ext uri="{FF2B5EF4-FFF2-40B4-BE49-F238E27FC236}">
              <a16:creationId xmlns:a16="http://schemas.microsoft.com/office/drawing/2014/main" id="{00000000-0008-0000-3200-00003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4" name="Option Button 2613">
          <a:extLst>
            <a:ext uri="{FF2B5EF4-FFF2-40B4-BE49-F238E27FC236}">
              <a16:creationId xmlns:a16="http://schemas.microsoft.com/office/drawing/2014/main" id="{00000000-0008-0000-3200-00003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5" name="Option Button 2614">
          <a:extLst>
            <a:ext uri="{FF2B5EF4-FFF2-40B4-BE49-F238E27FC236}">
              <a16:creationId xmlns:a16="http://schemas.microsoft.com/office/drawing/2014/main" id="{00000000-0008-0000-3200-00003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6" name="Group Box 2615" descr="Group Box 5">
          <a:extLst>
            <a:ext uri="{FF2B5EF4-FFF2-40B4-BE49-F238E27FC236}">
              <a16:creationId xmlns:a16="http://schemas.microsoft.com/office/drawing/2014/main" id="{00000000-0008-0000-3200-000038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543</xdr:row>
      <xdr:rowOff>28440</xdr:rowOff>
    </xdr:from>
    <xdr:to>
      <xdr:col>7</xdr:col>
      <xdr:colOff>-363960</xdr:colOff>
      <xdr:row>544</xdr:row>
      <xdr:rowOff>0</xdr:rowOff>
    </xdr:to>
    <xdr:sp macro="" textlink="">
      <xdr:nvSpPr>
        <xdr:cNvPr id="2617" name="Option Button 2616">
          <a:extLst>
            <a:ext uri="{FF2B5EF4-FFF2-40B4-BE49-F238E27FC236}">
              <a16:creationId xmlns:a16="http://schemas.microsoft.com/office/drawing/2014/main" id="{00000000-0008-0000-3200-00003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8" name="Option Button 2617">
          <a:extLst>
            <a:ext uri="{FF2B5EF4-FFF2-40B4-BE49-F238E27FC236}">
              <a16:creationId xmlns:a16="http://schemas.microsoft.com/office/drawing/2014/main" id="{00000000-0008-0000-3200-00003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9" name="Option Button 2618">
          <a:extLst>
            <a:ext uri="{FF2B5EF4-FFF2-40B4-BE49-F238E27FC236}">
              <a16:creationId xmlns:a16="http://schemas.microsoft.com/office/drawing/2014/main" id="{00000000-0008-0000-3200-00003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0" name="Option Button 2619">
          <a:extLst>
            <a:ext uri="{FF2B5EF4-FFF2-40B4-BE49-F238E27FC236}">
              <a16:creationId xmlns:a16="http://schemas.microsoft.com/office/drawing/2014/main" id="{00000000-0008-0000-3200-00003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1" name="Group Box 2620" descr="Group Box 5">
          <a:extLst>
            <a:ext uri="{FF2B5EF4-FFF2-40B4-BE49-F238E27FC236}">
              <a16:creationId xmlns:a16="http://schemas.microsoft.com/office/drawing/2014/main" id="{00000000-0008-0000-3200-00003D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544</xdr:row>
      <xdr:rowOff>28440</xdr:rowOff>
    </xdr:from>
    <xdr:to>
      <xdr:col>7</xdr:col>
      <xdr:colOff>-363960</xdr:colOff>
      <xdr:row>545</xdr:row>
      <xdr:rowOff>0</xdr:rowOff>
    </xdr:to>
    <xdr:sp macro="" textlink="">
      <xdr:nvSpPr>
        <xdr:cNvPr id="2622" name="Option Button 2621">
          <a:extLst>
            <a:ext uri="{FF2B5EF4-FFF2-40B4-BE49-F238E27FC236}">
              <a16:creationId xmlns:a16="http://schemas.microsoft.com/office/drawing/2014/main" id="{00000000-0008-0000-3200-00003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3" name="Option Button 2622">
          <a:extLst>
            <a:ext uri="{FF2B5EF4-FFF2-40B4-BE49-F238E27FC236}">
              <a16:creationId xmlns:a16="http://schemas.microsoft.com/office/drawing/2014/main" id="{00000000-0008-0000-3200-00003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4" name="Option Button 2623">
          <a:extLst>
            <a:ext uri="{FF2B5EF4-FFF2-40B4-BE49-F238E27FC236}">
              <a16:creationId xmlns:a16="http://schemas.microsoft.com/office/drawing/2014/main" id="{00000000-0008-0000-3200-00004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5" name="Option Button 2624">
          <a:extLst>
            <a:ext uri="{FF2B5EF4-FFF2-40B4-BE49-F238E27FC236}">
              <a16:creationId xmlns:a16="http://schemas.microsoft.com/office/drawing/2014/main" id="{00000000-0008-0000-3200-00004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6" name="Group Box 2625" descr="Group Box 5">
          <a:extLst>
            <a:ext uri="{FF2B5EF4-FFF2-40B4-BE49-F238E27FC236}">
              <a16:creationId xmlns:a16="http://schemas.microsoft.com/office/drawing/2014/main" id="{00000000-0008-0000-3200-000042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545</xdr:row>
      <xdr:rowOff>28440</xdr:rowOff>
    </xdr:from>
    <xdr:to>
      <xdr:col>7</xdr:col>
      <xdr:colOff>-363960</xdr:colOff>
      <xdr:row>546</xdr:row>
      <xdr:rowOff>0</xdr:rowOff>
    </xdr:to>
    <xdr:sp macro="" textlink="">
      <xdr:nvSpPr>
        <xdr:cNvPr id="2627" name="Option Button 2626">
          <a:extLst>
            <a:ext uri="{FF2B5EF4-FFF2-40B4-BE49-F238E27FC236}">
              <a16:creationId xmlns:a16="http://schemas.microsoft.com/office/drawing/2014/main" id="{00000000-0008-0000-3200-00004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8" name="Option Button 2627">
          <a:extLst>
            <a:ext uri="{FF2B5EF4-FFF2-40B4-BE49-F238E27FC236}">
              <a16:creationId xmlns:a16="http://schemas.microsoft.com/office/drawing/2014/main" id="{00000000-0008-0000-3200-00004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9" name="Option Button 2628">
          <a:extLst>
            <a:ext uri="{FF2B5EF4-FFF2-40B4-BE49-F238E27FC236}">
              <a16:creationId xmlns:a16="http://schemas.microsoft.com/office/drawing/2014/main" id="{00000000-0008-0000-3200-00004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0" name="Option Button 2629">
          <a:extLst>
            <a:ext uri="{FF2B5EF4-FFF2-40B4-BE49-F238E27FC236}">
              <a16:creationId xmlns:a16="http://schemas.microsoft.com/office/drawing/2014/main" id="{00000000-0008-0000-3200-00004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1" name="Group Box 2630" descr="Group Box 5">
          <a:extLst>
            <a:ext uri="{FF2B5EF4-FFF2-40B4-BE49-F238E27FC236}">
              <a16:creationId xmlns:a16="http://schemas.microsoft.com/office/drawing/2014/main" id="{00000000-0008-0000-3200-000047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546</xdr:row>
      <xdr:rowOff>28440</xdr:rowOff>
    </xdr:from>
    <xdr:to>
      <xdr:col>7</xdr:col>
      <xdr:colOff>-363960</xdr:colOff>
      <xdr:row>547</xdr:row>
      <xdr:rowOff>0</xdr:rowOff>
    </xdr:to>
    <xdr:sp macro="" textlink="">
      <xdr:nvSpPr>
        <xdr:cNvPr id="2632" name="Option Button 2631">
          <a:extLst>
            <a:ext uri="{FF2B5EF4-FFF2-40B4-BE49-F238E27FC236}">
              <a16:creationId xmlns:a16="http://schemas.microsoft.com/office/drawing/2014/main" id="{00000000-0008-0000-3200-00004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3" name="Option Button 2632">
          <a:extLst>
            <a:ext uri="{FF2B5EF4-FFF2-40B4-BE49-F238E27FC236}">
              <a16:creationId xmlns:a16="http://schemas.microsoft.com/office/drawing/2014/main" id="{00000000-0008-0000-3200-00004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4" name="Option Button 2633">
          <a:extLst>
            <a:ext uri="{FF2B5EF4-FFF2-40B4-BE49-F238E27FC236}">
              <a16:creationId xmlns:a16="http://schemas.microsoft.com/office/drawing/2014/main" id="{00000000-0008-0000-3200-00004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5" name="Option Button 2634">
          <a:extLst>
            <a:ext uri="{FF2B5EF4-FFF2-40B4-BE49-F238E27FC236}">
              <a16:creationId xmlns:a16="http://schemas.microsoft.com/office/drawing/2014/main" id="{00000000-0008-0000-3200-00004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6" name="Group Box 2635" descr="Group Box 5">
          <a:extLst>
            <a:ext uri="{FF2B5EF4-FFF2-40B4-BE49-F238E27FC236}">
              <a16:creationId xmlns:a16="http://schemas.microsoft.com/office/drawing/2014/main" id="{00000000-0008-0000-3200-00004C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547</xdr:row>
      <xdr:rowOff>28440</xdr:rowOff>
    </xdr:from>
    <xdr:to>
      <xdr:col>7</xdr:col>
      <xdr:colOff>-363960</xdr:colOff>
      <xdr:row>548</xdr:row>
      <xdr:rowOff>0</xdr:rowOff>
    </xdr:to>
    <xdr:sp macro="" textlink="">
      <xdr:nvSpPr>
        <xdr:cNvPr id="2637" name="Option Button 2636">
          <a:extLst>
            <a:ext uri="{FF2B5EF4-FFF2-40B4-BE49-F238E27FC236}">
              <a16:creationId xmlns:a16="http://schemas.microsoft.com/office/drawing/2014/main" id="{00000000-0008-0000-3200-00004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8" name="Option Button 2637">
          <a:extLst>
            <a:ext uri="{FF2B5EF4-FFF2-40B4-BE49-F238E27FC236}">
              <a16:creationId xmlns:a16="http://schemas.microsoft.com/office/drawing/2014/main" id="{00000000-0008-0000-3200-00004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9" name="Option Button 2638">
          <a:extLst>
            <a:ext uri="{FF2B5EF4-FFF2-40B4-BE49-F238E27FC236}">
              <a16:creationId xmlns:a16="http://schemas.microsoft.com/office/drawing/2014/main" id="{00000000-0008-0000-3200-00004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0" name="Option Button 2639">
          <a:extLst>
            <a:ext uri="{FF2B5EF4-FFF2-40B4-BE49-F238E27FC236}">
              <a16:creationId xmlns:a16="http://schemas.microsoft.com/office/drawing/2014/main" id="{00000000-0008-0000-3200-00005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1" name="Group Box 2640" descr="Group Box 5">
          <a:extLst>
            <a:ext uri="{FF2B5EF4-FFF2-40B4-BE49-F238E27FC236}">
              <a16:creationId xmlns:a16="http://schemas.microsoft.com/office/drawing/2014/main" id="{00000000-0008-0000-3200-000051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548</xdr:row>
      <xdr:rowOff>28440</xdr:rowOff>
    </xdr:from>
    <xdr:to>
      <xdr:col>7</xdr:col>
      <xdr:colOff>-363960</xdr:colOff>
      <xdr:row>549</xdr:row>
      <xdr:rowOff>0</xdr:rowOff>
    </xdr:to>
    <xdr:sp macro="" textlink="">
      <xdr:nvSpPr>
        <xdr:cNvPr id="2642" name="Option Button 2641">
          <a:extLst>
            <a:ext uri="{FF2B5EF4-FFF2-40B4-BE49-F238E27FC236}">
              <a16:creationId xmlns:a16="http://schemas.microsoft.com/office/drawing/2014/main" id="{00000000-0008-0000-3200-00005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3" name="Option Button 2642">
          <a:extLst>
            <a:ext uri="{FF2B5EF4-FFF2-40B4-BE49-F238E27FC236}">
              <a16:creationId xmlns:a16="http://schemas.microsoft.com/office/drawing/2014/main" id="{00000000-0008-0000-3200-00005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4" name="Option Button 2643">
          <a:extLst>
            <a:ext uri="{FF2B5EF4-FFF2-40B4-BE49-F238E27FC236}">
              <a16:creationId xmlns:a16="http://schemas.microsoft.com/office/drawing/2014/main" id="{00000000-0008-0000-3200-00005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5" name="Option Button 2644">
          <a:extLst>
            <a:ext uri="{FF2B5EF4-FFF2-40B4-BE49-F238E27FC236}">
              <a16:creationId xmlns:a16="http://schemas.microsoft.com/office/drawing/2014/main" id="{00000000-0008-0000-3200-00005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6" name="Group Box 2645" descr="Group Box 5">
          <a:extLst>
            <a:ext uri="{FF2B5EF4-FFF2-40B4-BE49-F238E27FC236}">
              <a16:creationId xmlns:a16="http://schemas.microsoft.com/office/drawing/2014/main" id="{00000000-0008-0000-3200-000056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549</xdr:row>
      <xdr:rowOff>28440</xdr:rowOff>
    </xdr:from>
    <xdr:to>
      <xdr:col>7</xdr:col>
      <xdr:colOff>-363960</xdr:colOff>
      <xdr:row>550</xdr:row>
      <xdr:rowOff>0</xdr:rowOff>
    </xdr:to>
    <xdr:sp macro="" textlink="">
      <xdr:nvSpPr>
        <xdr:cNvPr id="2647" name="Option Button 2646">
          <a:extLst>
            <a:ext uri="{FF2B5EF4-FFF2-40B4-BE49-F238E27FC236}">
              <a16:creationId xmlns:a16="http://schemas.microsoft.com/office/drawing/2014/main" id="{00000000-0008-0000-3200-00005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8" name="Option Button 2647">
          <a:extLst>
            <a:ext uri="{FF2B5EF4-FFF2-40B4-BE49-F238E27FC236}">
              <a16:creationId xmlns:a16="http://schemas.microsoft.com/office/drawing/2014/main" id="{00000000-0008-0000-3200-00005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9" name="Option Button 2648">
          <a:extLst>
            <a:ext uri="{FF2B5EF4-FFF2-40B4-BE49-F238E27FC236}">
              <a16:creationId xmlns:a16="http://schemas.microsoft.com/office/drawing/2014/main" id="{00000000-0008-0000-3200-00005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0" name="Option Button 2649">
          <a:extLst>
            <a:ext uri="{FF2B5EF4-FFF2-40B4-BE49-F238E27FC236}">
              <a16:creationId xmlns:a16="http://schemas.microsoft.com/office/drawing/2014/main" id="{00000000-0008-0000-3200-00005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1" name="Group Box 2650" descr="Group Box 5">
          <a:extLst>
            <a:ext uri="{FF2B5EF4-FFF2-40B4-BE49-F238E27FC236}">
              <a16:creationId xmlns:a16="http://schemas.microsoft.com/office/drawing/2014/main" id="{00000000-0008-0000-3200-00005B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550</xdr:row>
      <xdr:rowOff>28440</xdr:rowOff>
    </xdr:from>
    <xdr:to>
      <xdr:col>7</xdr:col>
      <xdr:colOff>-363960</xdr:colOff>
      <xdr:row>551</xdr:row>
      <xdr:rowOff>0</xdr:rowOff>
    </xdr:to>
    <xdr:sp macro="" textlink="">
      <xdr:nvSpPr>
        <xdr:cNvPr id="2652" name="Option Button 2651">
          <a:extLst>
            <a:ext uri="{FF2B5EF4-FFF2-40B4-BE49-F238E27FC236}">
              <a16:creationId xmlns:a16="http://schemas.microsoft.com/office/drawing/2014/main" id="{00000000-0008-0000-3200-00005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3" name="Option Button 2652">
          <a:extLst>
            <a:ext uri="{FF2B5EF4-FFF2-40B4-BE49-F238E27FC236}">
              <a16:creationId xmlns:a16="http://schemas.microsoft.com/office/drawing/2014/main" id="{00000000-0008-0000-3200-00005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4" name="Option Button 2653">
          <a:extLst>
            <a:ext uri="{FF2B5EF4-FFF2-40B4-BE49-F238E27FC236}">
              <a16:creationId xmlns:a16="http://schemas.microsoft.com/office/drawing/2014/main" id="{00000000-0008-0000-3200-00005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5" name="Option Button 2654">
          <a:extLst>
            <a:ext uri="{FF2B5EF4-FFF2-40B4-BE49-F238E27FC236}">
              <a16:creationId xmlns:a16="http://schemas.microsoft.com/office/drawing/2014/main" id="{00000000-0008-0000-3200-00005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6" name="Group Box 2655" descr="Group Box 5">
          <a:extLst>
            <a:ext uri="{FF2B5EF4-FFF2-40B4-BE49-F238E27FC236}">
              <a16:creationId xmlns:a16="http://schemas.microsoft.com/office/drawing/2014/main" id="{00000000-0008-0000-3200-000060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551</xdr:row>
      <xdr:rowOff>28440</xdr:rowOff>
    </xdr:from>
    <xdr:to>
      <xdr:col>7</xdr:col>
      <xdr:colOff>-363960</xdr:colOff>
      <xdr:row>552</xdr:row>
      <xdr:rowOff>0</xdr:rowOff>
    </xdr:to>
    <xdr:sp macro="" textlink="">
      <xdr:nvSpPr>
        <xdr:cNvPr id="2657" name="Option Button 2656">
          <a:extLst>
            <a:ext uri="{FF2B5EF4-FFF2-40B4-BE49-F238E27FC236}">
              <a16:creationId xmlns:a16="http://schemas.microsoft.com/office/drawing/2014/main" id="{00000000-0008-0000-3200-00006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8" name="Option Button 2657">
          <a:extLst>
            <a:ext uri="{FF2B5EF4-FFF2-40B4-BE49-F238E27FC236}">
              <a16:creationId xmlns:a16="http://schemas.microsoft.com/office/drawing/2014/main" id="{00000000-0008-0000-3200-00006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9" name="Option Button 2658">
          <a:extLst>
            <a:ext uri="{FF2B5EF4-FFF2-40B4-BE49-F238E27FC236}">
              <a16:creationId xmlns:a16="http://schemas.microsoft.com/office/drawing/2014/main" id="{00000000-0008-0000-3200-00006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0" name="Option Button 2659">
          <a:extLst>
            <a:ext uri="{FF2B5EF4-FFF2-40B4-BE49-F238E27FC236}">
              <a16:creationId xmlns:a16="http://schemas.microsoft.com/office/drawing/2014/main" id="{00000000-0008-0000-3200-00006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1" name="Group Box 2660" descr="Group Box 5">
          <a:extLst>
            <a:ext uri="{FF2B5EF4-FFF2-40B4-BE49-F238E27FC236}">
              <a16:creationId xmlns:a16="http://schemas.microsoft.com/office/drawing/2014/main" id="{00000000-0008-0000-3200-000065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552</xdr:row>
      <xdr:rowOff>28440</xdr:rowOff>
    </xdr:from>
    <xdr:to>
      <xdr:col>7</xdr:col>
      <xdr:colOff>-363960</xdr:colOff>
      <xdr:row>553</xdr:row>
      <xdr:rowOff>0</xdr:rowOff>
    </xdr:to>
    <xdr:sp macro="" textlink="">
      <xdr:nvSpPr>
        <xdr:cNvPr id="2662" name="Option Button 2661">
          <a:extLst>
            <a:ext uri="{FF2B5EF4-FFF2-40B4-BE49-F238E27FC236}">
              <a16:creationId xmlns:a16="http://schemas.microsoft.com/office/drawing/2014/main" id="{00000000-0008-0000-3200-00006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3" name="Option Button 2662">
          <a:extLst>
            <a:ext uri="{FF2B5EF4-FFF2-40B4-BE49-F238E27FC236}">
              <a16:creationId xmlns:a16="http://schemas.microsoft.com/office/drawing/2014/main" id="{00000000-0008-0000-3200-00006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4" name="Option Button 2663">
          <a:extLst>
            <a:ext uri="{FF2B5EF4-FFF2-40B4-BE49-F238E27FC236}">
              <a16:creationId xmlns:a16="http://schemas.microsoft.com/office/drawing/2014/main" id="{00000000-0008-0000-3200-00006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5" name="Option Button 2664">
          <a:extLst>
            <a:ext uri="{FF2B5EF4-FFF2-40B4-BE49-F238E27FC236}">
              <a16:creationId xmlns:a16="http://schemas.microsoft.com/office/drawing/2014/main" id="{00000000-0008-0000-3200-00006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6" name="Group Box 2665" descr="Group Box 5">
          <a:extLst>
            <a:ext uri="{FF2B5EF4-FFF2-40B4-BE49-F238E27FC236}">
              <a16:creationId xmlns:a16="http://schemas.microsoft.com/office/drawing/2014/main" id="{00000000-0008-0000-3200-00006A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553</xdr:row>
      <xdr:rowOff>28440</xdr:rowOff>
    </xdr:from>
    <xdr:to>
      <xdr:col>7</xdr:col>
      <xdr:colOff>-363960</xdr:colOff>
      <xdr:row>554</xdr:row>
      <xdr:rowOff>0</xdr:rowOff>
    </xdr:to>
    <xdr:sp macro="" textlink="">
      <xdr:nvSpPr>
        <xdr:cNvPr id="2667" name="Option Button 2666">
          <a:extLst>
            <a:ext uri="{FF2B5EF4-FFF2-40B4-BE49-F238E27FC236}">
              <a16:creationId xmlns:a16="http://schemas.microsoft.com/office/drawing/2014/main" id="{00000000-0008-0000-3200-00006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8" name="Option Button 2667">
          <a:extLst>
            <a:ext uri="{FF2B5EF4-FFF2-40B4-BE49-F238E27FC236}">
              <a16:creationId xmlns:a16="http://schemas.microsoft.com/office/drawing/2014/main" id="{00000000-0008-0000-3200-00006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9" name="Option Button 2668">
          <a:extLst>
            <a:ext uri="{FF2B5EF4-FFF2-40B4-BE49-F238E27FC236}">
              <a16:creationId xmlns:a16="http://schemas.microsoft.com/office/drawing/2014/main" id="{00000000-0008-0000-3200-00006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0" name="Option Button 2669">
          <a:extLst>
            <a:ext uri="{FF2B5EF4-FFF2-40B4-BE49-F238E27FC236}">
              <a16:creationId xmlns:a16="http://schemas.microsoft.com/office/drawing/2014/main" id="{00000000-0008-0000-3200-00006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1" name="Group Box 2670" descr="Group Box 5">
          <a:extLst>
            <a:ext uri="{FF2B5EF4-FFF2-40B4-BE49-F238E27FC236}">
              <a16:creationId xmlns:a16="http://schemas.microsoft.com/office/drawing/2014/main" id="{00000000-0008-0000-3200-00006F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554</xdr:row>
      <xdr:rowOff>28440</xdr:rowOff>
    </xdr:from>
    <xdr:to>
      <xdr:col>7</xdr:col>
      <xdr:colOff>-363960</xdr:colOff>
      <xdr:row>555</xdr:row>
      <xdr:rowOff>0</xdr:rowOff>
    </xdr:to>
    <xdr:sp macro="" textlink="">
      <xdr:nvSpPr>
        <xdr:cNvPr id="2672" name="Option Button 2671">
          <a:extLst>
            <a:ext uri="{FF2B5EF4-FFF2-40B4-BE49-F238E27FC236}">
              <a16:creationId xmlns:a16="http://schemas.microsoft.com/office/drawing/2014/main" id="{00000000-0008-0000-3200-00007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3" name="Option Button 2672">
          <a:extLst>
            <a:ext uri="{FF2B5EF4-FFF2-40B4-BE49-F238E27FC236}">
              <a16:creationId xmlns:a16="http://schemas.microsoft.com/office/drawing/2014/main" id="{00000000-0008-0000-3200-00007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4" name="Option Button 2673">
          <a:extLst>
            <a:ext uri="{FF2B5EF4-FFF2-40B4-BE49-F238E27FC236}">
              <a16:creationId xmlns:a16="http://schemas.microsoft.com/office/drawing/2014/main" id="{00000000-0008-0000-3200-00007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5" name="Option Button 2674">
          <a:extLst>
            <a:ext uri="{FF2B5EF4-FFF2-40B4-BE49-F238E27FC236}">
              <a16:creationId xmlns:a16="http://schemas.microsoft.com/office/drawing/2014/main" id="{00000000-0008-0000-3200-00007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6" name="Group Box 2675" descr="Group Box 5">
          <a:extLst>
            <a:ext uri="{FF2B5EF4-FFF2-40B4-BE49-F238E27FC236}">
              <a16:creationId xmlns:a16="http://schemas.microsoft.com/office/drawing/2014/main" id="{00000000-0008-0000-3200-000074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555</xdr:row>
      <xdr:rowOff>28440</xdr:rowOff>
    </xdr:from>
    <xdr:to>
      <xdr:col>7</xdr:col>
      <xdr:colOff>-363960</xdr:colOff>
      <xdr:row>556</xdr:row>
      <xdr:rowOff>0</xdr:rowOff>
    </xdr:to>
    <xdr:sp macro="" textlink="">
      <xdr:nvSpPr>
        <xdr:cNvPr id="2677" name="Option Button 2676">
          <a:extLst>
            <a:ext uri="{FF2B5EF4-FFF2-40B4-BE49-F238E27FC236}">
              <a16:creationId xmlns:a16="http://schemas.microsoft.com/office/drawing/2014/main" id="{00000000-0008-0000-3200-00007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8" name="Option Button 2677">
          <a:extLst>
            <a:ext uri="{FF2B5EF4-FFF2-40B4-BE49-F238E27FC236}">
              <a16:creationId xmlns:a16="http://schemas.microsoft.com/office/drawing/2014/main" id="{00000000-0008-0000-3200-00007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9" name="Option Button 2678">
          <a:extLst>
            <a:ext uri="{FF2B5EF4-FFF2-40B4-BE49-F238E27FC236}">
              <a16:creationId xmlns:a16="http://schemas.microsoft.com/office/drawing/2014/main" id="{00000000-0008-0000-3200-00007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0" name="Option Button 2679">
          <a:extLst>
            <a:ext uri="{FF2B5EF4-FFF2-40B4-BE49-F238E27FC236}">
              <a16:creationId xmlns:a16="http://schemas.microsoft.com/office/drawing/2014/main" id="{00000000-0008-0000-3200-00007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1" name="Group Box 2680" descr="Group Box 5">
          <a:extLst>
            <a:ext uri="{FF2B5EF4-FFF2-40B4-BE49-F238E27FC236}">
              <a16:creationId xmlns:a16="http://schemas.microsoft.com/office/drawing/2014/main" id="{00000000-0008-0000-3200-000079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556</xdr:row>
      <xdr:rowOff>28440</xdr:rowOff>
    </xdr:from>
    <xdr:to>
      <xdr:col>7</xdr:col>
      <xdr:colOff>-363960</xdr:colOff>
      <xdr:row>557</xdr:row>
      <xdr:rowOff>0</xdr:rowOff>
    </xdr:to>
    <xdr:sp macro="" textlink="">
      <xdr:nvSpPr>
        <xdr:cNvPr id="2682" name="Option Button 2681">
          <a:extLst>
            <a:ext uri="{FF2B5EF4-FFF2-40B4-BE49-F238E27FC236}">
              <a16:creationId xmlns:a16="http://schemas.microsoft.com/office/drawing/2014/main" id="{00000000-0008-0000-3200-00007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3" name="Option Button 2682">
          <a:extLst>
            <a:ext uri="{FF2B5EF4-FFF2-40B4-BE49-F238E27FC236}">
              <a16:creationId xmlns:a16="http://schemas.microsoft.com/office/drawing/2014/main" id="{00000000-0008-0000-3200-00007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4" name="Option Button 2683">
          <a:extLst>
            <a:ext uri="{FF2B5EF4-FFF2-40B4-BE49-F238E27FC236}">
              <a16:creationId xmlns:a16="http://schemas.microsoft.com/office/drawing/2014/main" id="{00000000-0008-0000-3200-00007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5" name="Option Button 2684">
          <a:extLst>
            <a:ext uri="{FF2B5EF4-FFF2-40B4-BE49-F238E27FC236}">
              <a16:creationId xmlns:a16="http://schemas.microsoft.com/office/drawing/2014/main" id="{00000000-0008-0000-3200-00007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6" name="Group Box 2685" descr="Group Box 5">
          <a:extLst>
            <a:ext uri="{FF2B5EF4-FFF2-40B4-BE49-F238E27FC236}">
              <a16:creationId xmlns:a16="http://schemas.microsoft.com/office/drawing/2014/main" id="{00000000-0008-0000-3200-00007E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557</xdr:row>
      <xdr:rowOff>28440</xdr:rowOff>
    </xdr:from>
    <xdr:to>
      <xdr:col>7</xdr:col>
      <xdr:colOff>-363960</xdr:colOff>
      <xdr:row>558</xdr:row>
      <xdr:rowOff>0</xdr:rowOff>
    </xdr:to>
    <xdr:sp macro="" textlink="">
      <xdr:nvSpPr>
        <xdr:cNvPr id="2687" name="Option Button 2686">
          <a:extLst>
            <a:ext uri="{FF2B5EF4-FFF2-40B4-BE49-F238E27FC236}">
              <a16:creationId xmlns:a16="http://schemas.microsoft.com/office/drawing/2014/main" id="{00000000-0008-0000-3200-00007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8" name="Option Button 2687">
          <a:extLst>
            <a:ext uri="{FF2B5EF4-FFF2-40B4-BE49-F238E27FC236}">
              <a16:creationId xmlns:a16="http://schemas.microsoft.com/office/drawing/2014/main" id="{00000000-0008-0000-3200-00008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9" name="Option Button 2688">
          <a:extLst>
            <a:ext uri="{FF2B5EF4-FFF2-40B4-BE49-F238E27FC236}">
              <a16:creationId xmlns:a16="http://schemas.microsoft.com/office/drawing/2014/main" id="{00000000-0008-0000-3200-00008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0" name="Option Button 2689">
          <a:extLst>
            <a:ext uri="{FF2B5EF4-FFF2-40B4-BE49-F238E27FC236}">
              <a16:creationId xmlns:a16="http://schemas.microsoft.com/office/drawing/2014/main" id="{00000000-0008-0000-3200-00008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1" name="Group Box 2690" descr="Group Box 5">
          <a:extLst>
            <a:ext uri="{FF2B5EF4-FFF2-40B4-BE49-F238E27FC236}">
              <a16:creationId xmlns:a16="http://schemas.microsoft.com/office/drawing/2014/main" id="{00000000-0008-0000-3200-000083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558</xdr:row>
      <xdr:rowOff>28440</xdr:rowOff>
    </xdr:from>
    <xdr:to>
      <xdr:col>7</xdr:col>
      <xdr:colOff>-363960</xdr:colOff>
      <xdr:row>559</xdr:row>
      <xdr:rowOff>0</xdr:rowOff>
    </xdr:to>
    <xdr:sp macro="" textlink="">
      <xdr:nvSpPr>
        <xdr:cNvPr id="2692" name="Option Button 2691">
          <a:extLst>
            <a:ext uri="{FF2B5EF4-FFF2-40B4-BE49-F238E27FC236}">
              <a16:creationId xmlns:a16="http://schemas.microsoft.com/office/drawing/2014/main" id="{00000000-0008-0000-3200-00008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3" name="Option Button 2692">
          <a:extLst>
            <a:ext uri="{FF2B5EF4-FFF2-40B4-BE49-F238E27FC236}">
              <a16:creationId xmlns:a16="http://schemas.microsoft.com/office/drawing/2014/main" id="{00000000-0008-0000-3200-00008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4" name="Option Button 2693">
          <a:extLst>
            <a:ext uri="{FF2B5EF4-FFF2-40B4-BE49-F238E27FC236}">
              <a16:creationId xmlns:a16="http://schemas.microsoft.com/office/drawing/2014/main" id="{00000000-0008-0000-3200-00008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5" name="Option Button 2694">
          <a:extLst>
            <a:ext uri="{FF2B5EF4-FFF2-40B4-BE49-F238E27FC236}">
              <a16:creationId xmlns:a16="http://schemas.microsoft.com/office/drawing/2014/main" id="{00000000-0008-0000-3200-00008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6" name="Group Box 2695" descr="Group Box 5">
          <a:extLst>
            <a:ext uri="{FF2B5EF4-FFF2-40B4-BE49-F238E27FC236}">
              <a16:creationId xmlns:a16="http://schemas.microsoft.com/office/drawing/2014/main" id="{00000000-0008-0000-3200-000088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559</xdr:row>
      <xdr:rowOff>28440</xdr:rowOff>
    </xdr:from>
    <xdr:to>
      <xdr:col>7</xdr:col>
      <xdr:colOff>-363960</xdr:colOff>
      <xdr:row>560</xdr:row>
      <xdr:rowOff>0</xdr:rowOff>
    </xdr:to>
    <xdr:sp macro="" textlink="">
      <xdr:nvSpPr>
        <xdr:cNvPr id="2697" name="Option Button 2696">
          <a:extLst>
            <a:ext uri="{FF2B5EF4-FFF2-40B4-BE49-F238E27FC236}">
              <a16:creationId xmlns:a16="http://schemas.microsoft.com/office/drawing/2014/main" id="{00000000-0008-0000-3200-00008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8" name="Option Button 2697">
          <a:extLst>
            <a:ext uri="{FF2B5EF4-FFF2-40B4-BE49-F238E27FC236}">
              <a16:creationId xmlns:a16="http://schemas.microsoft.com/office/drawing/2014/main" id="{00000000-0008-0000-3200-00008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9" name="Option Button 2698">
          <a:extLst>
            <a:ext uri="{FF2B5EF4-FFF2-40B4-BE49-F238E27FC236}">
              <a16:creationId xmlns:a16="http://schemas.microsoft.com/office/drawing/2014/main" id="{00000000-0008-0000-3200-00008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0" name="Option Button 2699">
          <a:extLst>
            <a:ext uri="{FF2B5EF4-FFF2-40B4-BE49-F238E27FC236}">
              <a16:creationId xmlns:a16="http://schemas.microsoft.com/office/drawing/2014/main" id="{00000000-0008-0000-3200-00008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1" name="Group Box 2700" descr="Group Box 5">
          <a:extLst>
            <a:ext uri="{FF2B5EF4-FFF2-40B4-BE49-F238E27FC236}">
              <a16:creationId xmlns:a16="http://schemas.microsoft.com/office/drawing/2014/main" id="{00000000-0008-0000-3200-00008D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560</xdr:row>
      <xdr:rowOff>28440</xdr:rowOff>
    </xdr:from>
    <xdr:to>
      <xdr:col>7</xdr:col>
      <xdr:colOff>-363960</xdr:colOff>
      <xdr:row>561</xdr:row>
      <xdr:rowOff>0</xdr:rowOff>
    </xdr:to>
    <xdr:sp macro="" textlink="">
      <xdr:nvSpPr>
        <xdr:cNvPr id="2702" name="Option Button 2701">
          <a:extLst>
            <a:ext uri="{FF2B5EF4-FFF2-40B4-BE49-F238E27FC236}">
              <a16:creationId xmlns:a16="http://schemas.microsoft.com/office/drawing/2014/main" id="{00000000-0008-0000-3200-00008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3" name="Option Button 2702">
          <a:extLst>
            <a:ext uri="{FF2B5EF4-FFF2-40B4-BE49-F238E27FC236}">
              <a16:creationId xmlns:a16="http://schemas.microsoft.com/office/drawing/2014/main" id="{00000000-0008-0000-3200-00008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4" name="Option Button 2703">
          <a:extLst>
            <a:ext uri="{FF2B5EF4-FFF2-40B4-BE49-F238E27FC236}">
              <a16:creationId xmlns:a16="http://schemas.microsoft.com/office/drawing/2014/main" id="{00000000-0008-0000-3200-00009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5" name="Option Button 2704">
          <a:extLst>
            <a:ext uri="{FF2B5EF4-FFF2-40B4-BE49-F238E27FC236}">
              <a16:creationId xmlns:a16="http://schemas.microsoft.com/office/drawing/2014/main" id="{00000000-0008-0000-3200-00009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6" name="Group Box 2705" descr="Group Box 5">
          <a:extLst>
            <a:ext uri="{FF2B5EF4-FFF2-40B4-BE49-F238E27FC236}">
              <a16:creationId xmlns:a16="http://schemas.microsoft.com/office/drawing/2014/main" id="{00000000-0008-0000-3200-000092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561</xdr:row>
      <xdr:rowOff>28440</xdr:rowOff>
    </xdr:from>
    <xdr:to>
      <xdr:col>7</xdr:col>
      <xdr:colOff>-363960</xdr:colOff>
      <xdr:row>562</xdr:row>
      <xdr:rowOff>0</xdr:rowOff>
    </xdr:to>
    <xdr:sp macro="" textlink="">
      <xdr:nvSpPr>
        <xdr:cNvPr id="2707" name="Option Button 2706">
          <a:extLst>
            <a:ext uri="{FF2B5EF4-FFF2-40B4-BE49-F238E27FC236}">
              <a16:creationId xmlns:a16="http://schemas.microsoft.com/office/drawing/2014/main" id="{00000000-0008-0000-3200-00009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8" name="Option Button 2707">
          <a:extLst>
            <a:ext uri="{FF2B5EF4-FFF2-40B4-BE49-F238E27FC236}">
              <a16:creationId xmlns:a16="http://schemas.microsoft.com/office/drawing/2014/main" id="{00000000-0008-0000-3200-00009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9" name="Option Button 2708">
          <a:extLst>
            <a:ext uri="{FF2B5EF4-FFF2-40B4-BE49-F238E27FC236}">
              <a16:creationId xmlns:a16="http://schemas.microsoft.com/office/drawing/2014/main" id="{00000000-0008-0000-3200-00009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0" name="Option Button 2709">
          <a:extLst>
            <a:ext uri="{FF2B5EF4-FFF2-40B4-BE49-F238E27FC236}">
              <a16:creationId xmlns:a16="http://schemas.microsoft.com/office/drawing/2014/main" id="{00000000-0008-0000-3200-00009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1" name="Group Box 2710" descr="Group Box 5">
          <a:extLst>
            <a:ext uri="{FF2B5EF4-FFF2-40B4-BE49-F238E27FC236}">
              <a16:creationId xmlns:a16="http://schemas.microsoft.com/office/drawing/2014/main" id="{00000000-0008-0000-3200-000097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562</xdr:row>
      <xdr:rowOff>28440</xdr:rowOff>
    </xdr:from>
    <xdr:to>
      <xdr:col>7</xdr:col>
      <xdr:colOff>-363960</xdr:colOff>
      <xdr:row>563</xdr:row>
      <xdr:rowOff>0</xdr:rowOff>
    </xdr:to>
    <xdr:sp macro="" textlink="">
      <xdr:nvSpPr>
        <xdr:cNvPr id="2712" name="Option Button 2711">
          <a:extLst>
            <a:ext uri="{FF2B5EF4-FFF2-40B4-BE49-F238E27FC236}">
              <a16:creationId xmlns:a16="http://schemas.microsoft.com/office/drawing/2014/main" id="{00000000-0008-0000-3200-00009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3" name="Option Button 2712">
          <a:extLst>
            <a:ext uri="{FF2B5EF4-FFF2-40B4-BE49-F238E27FC236}">
              <a16:creationId xmlns:a16="http://schemas.microsoft.com/office/drawing/2014/main" id="{00000000-0008-0000-3200-00009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4" name="Option Button 2713">
          <a:extLst>
            <a:ext uri="{FF2B5EF4-FFF2-40B4-BE49-F238E27FC236}">
              <a16:creationId xmlns:a16="http://schemas.microsoft.com/office/drawing/2014/main" id="{00000000-0008-0000-3200-00009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5" name="Option Button 2714">
          <a:extLst>
            <a:ext uri="{FF2B5EF4-FFF2-40B4-BE49-F238E27FC236}">
              <a16:creationId xmlns:a16="http://schemas.microsoft.com/office/drawing/2014/main" id="{00000000-0008-0000-3200-00009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6" name="Group Box 2715" descr="Group Box 5">
          <a:extLst>
            <a:ext uri="{FF2B5EF4-FFF2-40B4-BE49-F238E27FC236}">
              <a16:creationId xmlns:a16="http://schemas.microsoft.com/office/drawing/2014/main" id="{00000000-0008-0000-3200-00009C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563</xdr:row>
      <xdr:rowOff>28440</xdr:rowOff>
    </xdr:from>
    <xdr:to>
      <xdr:col>7</xdr:col>
      <xdr:colOff>-363960</xdr:colOff>
      <xdr:row>564</xdr:row>
      <xdr:rowOff>0</xdr:rowOff>
    </xdr:to>
    <xdr:sp macro="" textlink="">
      <xdr:nvSpPr>
        <xdr:cNvPr id="2717" name="Option Button 2716">
          <a:extLst>
            <a:ext uri="{FF2B5EF4-FFF2-40B4-BE49-F238E27FC236}">
              <a16:creationId xmlns:a16="http://schemas.microsoft.com/office/drawing/2014/main" id="{00000000-0008-0000-3200-00009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8" name="Option Button 2717">
          <a:extLst>
            <a:ext uri="{FF2B5EF4-FFF2-40B4-BE49-F238E27FC236}">
              <a16:creationId xmlns:a16="http://schemas.microsoft.com/office/drawing/2014/main" id="{00000000-0008-0000-3200-00009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9" name="Option Button 2718">
          <a:extLst>
            <a:ext uri="{FF2B5EF4-FFF2-40B4-BE49-F238E27FC236}">
              <a16:creationId xmlns:a16="http://schemas.microsoft.com/office/drawing/2014/main" id="{00000000-0008-0000-3200-00009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0" name="Option Button 2719">
          <a:extLst>
            <a:ext uri="{FF2B5EF4-FFF2-40B4-BE49-F238E27FC236}">
              <a16:creationId xmlns:a16="http://schemas.microsoft.com/office/drawing/2014/main" id="{00000000-0008-0000-3200-0000A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1" name="Group Box 2720" descr="Group Box 5">
          <a:extLst>
            <a:ext uri="{FF2B5EF4-FFF2-40B4-BE49-F238E27FC236}">
              <a16:creationId xmlns:a16="http://schemas.microsoft.com/office/drawing/2014/main" id="{00000000-0008-0000-3200-0000A1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564</xdr:row>
      <xdr:rowOff>28440</xdr:rowOff>
    </xdr:from>
    <xdr:to>
      <xdr:col>7</xdr:col>
      <xdr:colOff>-363960</xdr:colOff>
      <xdr:row>565</xdr:row>
      <xdr:rowOff>0</xdr:rowOff>
    </xdr:to>
    <xdr:sp macro="" textlink="">
      <xdr:nvSpPr>
        <xdr:cNvPr id="2722" name="Option Button 2721">
          <a:extLst>
            <a:ext uri="{FF2B5EF4-FFF2-40B4-BE49-F238E27FC236}">
              <a16:creationId xmlns:a16="http://schemas.microsoft.com/office/drawing/2014/main" id="{00000000-0008-0000-3200-0000A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3" name="Option Button 2722">
          <a:extLst>
            <a:ext uri="{FF2B5EF4-FFF2-40B4-BE49-F238E27FC236}">
              <a16:creationId xmlns:a16="http://schemas.microsoft.com/office/drawing/2014/main" id="{00000000-0008-0000-3200-0000A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4" name="Option Button 2723">
          <a:extLst>
            <a:ext uri="{FF2B5EF4-FFF2-40B4-BE49-F238E27FC236}">
              <a16:creationId xmlns:a16="http://schemas.microsoft.com/office/drawing/2014/main" id="{00000000-0008-0000-3200-0000A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5" name="Option Button 2724">
          <a:extLst>
            <a:ext uri="{FF2B5EF4-FFF2-40B4-BE49-F238E27FC236}">
              <a16:creationId xmlns:a16="http://schemas.microsoft.com/office/drawing/2014/main" id="{00000000-0008-0000-3200-0000A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6" name="Group Box 2725" descr="Group Box 5">
          <a:extLst>
            <a:ext uri="{FF2B5EF4-FFF2-40B4-BE49-F238E27FC236}">
              <a16:creationId xmlns:a16="http://schemas.microsoft.com/office/drawing/2014/main" id="{00000000-0008-0000-3200-0000A6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565</xdr:row>
      <xdr:rowOff>28440</xdr:rowOff>
    </xdr:from>
    <xdr:to>
      <xdr:col>7</xdr:col>
      <xdr:colOff>-363960</xdr:colOff>
      <xdr:row>566</xdr:row>
      <xdr:rowOff>0</xdr:rowOff>
    </xdr:to>
    <xdr:sp macro="" textlink="">
      <xdr:nvSpPr>
        <xdr:cNvPr id="2727" name="Option Button 2726">
          <a:extLst>
            <a:ext uri="{FF2B5EF4-FFF2-40B4-BE49-F238E27FC236}">
              <a16:creationId xmlns:a16="http://schemas.microsoft.com/office/drawing/2014/main" id="{00000000-0008-0000-3200-0000A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8" name="Option Button 2727">
          <a:extLst>
            <a:ext uri="{FF2B5EF4-FFF2-40B4-BE49-F238E27FC236}">
              <a16:creationId xmlns:a16="http://schemas.microsoft.com/office/drawing/2014/main" id="{00000000-0008-0000-3200-0000A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9" name="Option Button 2728">
          <a:extLst>
            <a:ext uri="{FF2B5EF4-FFF2-40B4-BE49-F238E27FC236}">
              <a16:creationId xmlns:a16="http://schemas.microsoft.com/office/drawing/2014/main" id="{00000000-0008-0000-3200-0000A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0" name="Option Button 2729">
          <a:extLst>
            <a:ext uri="{FF2B5EF4-FFF2-40B4-BE49-F238E27FC236}">
              <a16:creationId xmlns:a16="http://schemas.microsoft.com/office/drawing/2014/main" id="{00000000-0008-0000-3200-0000A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1" name="Group Box 2730" descr="Group Box 5">
          <a:extLst>
            <a:ext uri="{FF2B5EF4-FFF2-40B4-BE49-F238E27FC236}">
              <a16:creationId xmlns:a16="http://schemas.microsoft.com/office/drawing/2014/main" id="{00000000-0008-0000-3200-0000AB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566</xdr:row>
      <xdr:rowOff>28440</xdr:rowOff>
    </xdr:from>
    <xdr:to>
      <xdr:col>7</xdr:col>
      <xdr:colOff>-363960</xdr:colOff>
      <xdr:row>567</xdr:row>
      <xdr:rowOff>0</xdr:rowOff>
    </xdr:to>
    <xdr:sp macro="" textlink="">
      <xdr:nvSpPr>
        <xdr:cNvPr id="2732" name="Option Button 2731">
          <a:extLst>
            <a:ext uri="{FF2B5EF4-FFF2-40B4-BE49-F238E27FC236}">
              <a16:creationId xmlns:a16="http://schemas.microsoft.com/office/drawing/2014/main" id="{00000000-0008-0000-3200-0000A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3" name="Option Button 2732">
          <a:extLst>
            <a:ext uri="{FF2B5EF4-FFF2-40B4-BE49-F238E27FC236}">
              <a16:creationId xmlns:a16="http://schemas.microsoft.com/office/drawing/2014/main" id="{00000000-0008-0000-3200-0000A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4" name="Option Button 2733">
          <a:extLst>
            <a:ext uri="{FF2B5EF4-FFF2-40B4-BE49-F238E27FC236}">
              <a16:creationId xmlns:a16="http://schemas.microsoft.com/office/drawing/2014/main" id="{00000000-0008-0000-3200-0000A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5" name="Option Button 2734">
          <a:extLst>
            <a:ext uri="{FF2B5EF4-FFF2-40B4-BE49-F238E27FC236}">
              <a16:creationId xmlns:a16="http://schemas.microsoft.com/office/drawing/2014/main" id="{00000000-0008-0000-3200-0000A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6" name="Group Box 2735" descr="Group Box 5">
          <a:extLst>
            <a:ext uri="{FF2B5EF4-FFF2-40B4-BE49-F238E27FC236}">
              <a16:creationId xmlns:a16="http://schemas.microsoft.com/office/drawing/2014/main" id="{00000000-0008-0000-3200-0000B0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567</xdr:row>
      <xdr:rowOff>28440</xdr:rowOff>
    </xdr:from>
    <xdr:to>
      <xdr:col>7</xdr:col>
      <xdr:colOff>-363960</xdr:colOff>
      <xdr:row>568</xdr:row>
      <xdr:rowOff>0</xdr:rowOff>
    </xdr:to>
    <xdr:sp macro="" textlink="">
      <xdr:nvSpPr>
        <xdr:cNvPr id="2737" name="Option Button 2736">
          <a:extLst>
            <a:ext uri="{FF2B5EF4-FFF2-40B4-BE49-F238E27FC236}">
              <a16:creationId xmlns:a16="http://schemas.microsoft.com/office/drawing/2014/main" id="{00000000-0008-0000-3200-0000B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8" name="Option Button 2737">
          <a:extLst>
            <a:ext uri="{FF2B5EF4-FFF2-40B4-BE49-F238E27FC236}">
              <a16:creationId xmlns:a16="http://schemas.microsoft.com/office/drawing/2014/main" id="{00000000-0008-0000-3200-0000B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9" name="Option Button 2738">
          <a:extLst>
            <a:ext uri="{FF2B5EF4-FFF2-40B4-BE49-F238E27FC236}">
              <a16:creationId xmlns:a16="http://schemas.microsoft.com/office/drawing/2014/main" id="{00000000-0008-0000-3200-0000B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0" name="Option Button 2739">
          <a:extLst>
            <a:ext uri="{FF2B5EF4-FFF2-40B4-BE49-F238E27FC236}">
              <a16:creationId xmlns:a16="http://schemas.microsoft.com/office/drawing/2014/main" id="{00000000-0008-0000-3200-0000B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1" name="Group Box 2740" descr="Group Box 5">
          <a:extLst>
            <a:ext uri="{FF2B5EF4-FFF2-40B4-BE49-F238E27FC236}">
              <a16:creationId xmlns:a16="http://schemas.microsoft.com/office/drawing/2014/main" id="{00000000-0008-0000-3200-0000B5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568</xdr:row>
      <xdr:rowOff>28440</xdr:rowOff>
    </xdr:from>
    <xdr:to>
      <xdr:col>7</xdr:col>
      <xdr:colOff>-363960</xdr:colOff>
      <xdr:row>569</xdr:row>
      <xdr:rowOff>0</xdr:rowOff>
    </xdr:to>
    <xdr:sp macro="" textlink="">
      <xdr:nvSpPr>
        <xdr:cNvPr id="2742" name="Option Button 2741">
          <a:extLst>
            <a:ext uri="{FF2B5EF4-FFF2-40B4-BE49-F238E27FC236}">
              <a16:creationId xmlns:a16="http://schemas.microsoft.com/office/drawing/2014/main" id="{00000000-0008-0000-3200-0000B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3" name="Option Button 2742">
          <a:extLst>
            <a:ext uri="{FF2B5EF4-FFF2-40B4-BE49-F238E27FC236}">
              <a16:creationId xmlns:a16="http://schemas.microsoft.com/office/drawing/2014/main" id="{00000000-0008-0000-3200-0000B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4" name="Option Button 2743">
          <a:extLst>
            <a:ext uri="{FF2B5EF4-FFF2-40B4-BE49-F238E27FC236}">
              <a16:creationId xmlns:a16="http://schemas.microsoft.com/office/drawing/2014/main" id="{00000000-0008-0000-3200-0000B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5" name="Option Button 2744">
          <a:extLst>
            <a:ext uri="{FF2B5EF4-FFF2-40B4-BE49-F238E27FC236}">
              <a16:creationId xmlns:a16="http://schemas.microsoft.com/office/drawing/2014/main" id="{00000000-0008-0000-3200-0000B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6" name="Group Box 2745" descr="Group Box 5">
          <a:extLst>
            <a:ext uri="{FF2B5EF4-FFF2-40B4-BE49-F238E27FC236}">
              <a16:creationId xmlns:a16="http://schemas.microsoft.com/office/drawing/2014/main" id="{00000000-0008-0000-3200-0000BA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569</xdr:row>
      <xdr:rowOff>28440</xdr:rowOff>
    </xdr:from>
    <xdr:to>
      <xdr:col>7</xdr:col>
      <xdr:colOff>-363960</xdr:colOff>
      <xdr:row>570</xdr:row>
      <xdr:rowOff>0</xdr:rowOff>
    </xdr:to>
    <xdr:sp macro="" textlink="">
      <xdr:nvSpPr>
        <xdr:cNvPr id="2747" name="Option Button 2746">
          <a:extLst>
            <a:ext uri="{FF2B5EF4-FFF2-40B4-BE49-F238E27FC236}">
              <a16:creationId xmlns:a16="http://schemas.microsoft.com/office/drawing/2014/main" id="{00000000-0008-0000-3200-0000B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8" name="Option Button 2747">
          <a:extLst>
            <a:ext uri="{FF2B5EF4-FFF2-40B4-BE49-F238E27FC236}">
              <a16:creationId xmlns:a16="http://schemas.microsoft.com/office/drawing/2014/main" id="{00000000-0008-0000-3200-0000B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9" name="Option Button 2748">
          <a:extLst>
            <a:ext uri="{FF2B5EF4-FFF2-40B4-BE49-F238E27FC236}">
              <a16:creationId xmlns:a16="http://schemas.microsoft.com/office/drawing/2014/main" id="{00000000-0008-0000-3200-0000B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0" name="Option Button 2749">
          <a:extLst>
            <a:ext uri="{FF2B5EF4-FFF2-40B4-BE49-F238E27FC236}">
              <a16:creationId xmlns:a16="http://schemas.microsoft.com/office/drawing/2014/main" id="{00000000-0008-0000-3200-0000B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1" name="Group Box 2750" descr="Group Box 5">
          <a:extLst>
            <a:ext uri="{FF2B5EF4-FFF2-40B4-BE49-F238E27FC236}">
              <a16:creationId xmlns:a16="http://schemas.microsoft.com/office/drawing/2014/main" id="{00000000-0008-0000-3200-0000BF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570</xdr:row>
      <xdr:rowOff>28440</xdr:rowOff>
    </xdr:from>
    <xdr:to>
      <xdr:col>7</xdr:col>
      <xdr:colOff>-363960</xdr:colOff>
      <xdr:row>571</xdr:row>
      <xdr:rowOff>0</xdr:rowOff>
    </xdr:to>
    <xdr:sp macro="" textlink="">
      <xdr:nvSpPr>
        <xdr:cNvPr id="2752" name="Option Button 2751">
          <a:extLst>
            <a:ext uri="{FF2B5EF4-FFF2-40B4-BE49-F238E27FC236}">
              <a16:creationId xmlns:a16="http://schemas.microsoft.com/office/drawing/2014/main" id="{00000000-0008-0000-3200-0000C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3" name="Option Button 2752">
          <a:extLst>
            <a:ext uri="{FF2B5EF4-FFF2-40B4-BE49-F238E27FC236}">
              <a16:creationId xmlns:a16="http://schemas.microsoft.com/office/drawing/2014/main" id="{00000000-0008-0000-3200-0000C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4" name="Option Button 2753">
          <a:extLst>
            <a:ext uri="{FF2B5EF4-FFF2-40B4-BE49-F238E27FC236}">
              <a16:creationId xmlns:a16="http://schemas.microsoft.com/office/drawing/2014/main" id="{00000000-0008-0000-3200-0000C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5" name="Option Button 2754">
          <a:extLst>
            <a:ext uri="{FF2B5EF4-FFF2-40B4-BE49-F238E27FC236}">
              <a16:creationId xmlns:a16="http://schemas.microsoft.com/office/drawing/2014/main" id="{00000000-0008-0000-3200-0000C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6" name="Group Box 2755" descr="Group Box 5">
          <a:extLst>
            <a:ext uri="{FF2B5EF4-FFF2-40B4-BE49-F238E27FC236}">
              <a16:creationId xmlns:a16="http://schemas.microsoft.com/office/drawing/2014/main" id="{00000000-0008-0000-3200-0000C4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571</xdr:row>
      <xdr:rowOff>28440</xdr:rowOff>
    </xdr:from>
    <xdr:to>
      <xdr:col>7</xdr:col>
      <xdr:colOff>-363960</xdr:colOff>
      <xdr:row>572</xdr:row>
      <xdr:rowOff>0</xdr:rowOff>
    </xdr:to>
    <xdr:sp macro="" textlink="">
      <xdr:nvSpPr>
        <xdr:cNvPr id="2757" name="Option Button 2756">
          <a:extLst>
            <a:ext uri="{FF2B5EF4-FFF2-40B4-BE49-F238E27FC236}">
              <a16:creationId xmlns:a16="http://schemas.microsoft.com/office/drawing/2014/main" id="{00000000-0008-0000-3200-0000C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8" name="Option Button 2757">
          <a:extLst>
            <a:ext uri="{FF2B5EF4-FFF2-40B4-BE49-F238E27FC236}">
              <a16:creationId xmlns:a16="http://schemas.microsoft.com/office/drawing/2014/main" id="{00000000-0008-0000-3200-0000C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9" name="Option Button 2758">
          <a:extLst>
            <a:ext uri="{FF2B5EF4-FFF2-40B4-BE49-F238E27FC236}">
              <a16:creationId xmlns:a16="http://schemas.microsoft.com/office/drawing/2014/main" id="{00000000-0008-0000-3200-0000C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0" name="Option Button 2759">
          <a:extLst>
            <a:ext uri="{FF2B5EF4-FFF2-40B4-BE49-F238E27FC236}">
              <a16:creationId xmlns:a16="http://schemas.microsoft.com/office/drawing/2014/main" id="{00000000-0008-0000-3200-0000C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1" name="Group Box 2760" descr="Group Box 5">
          <a:extLst>
            <a:ext uri="{FF2B5EF4-FFF2-40B4-BE49-F238E27FC236}">
              <a16:creationId xmlns:a16="http://schemas.microsoft.com/office/drawing/2014/main" id="{00000000-0008-0000-3200-0000C9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572</xdr:row>
      <xdr:rowOff>28440</xdr:rowOff>
    </xdr:from>
    <xdr:to>
      <xdr:col>7</xdr:col>
      <xdr:colOff>-363960</xdr:colOff>
      <xdr:row>573</xdr:row>
      <xdr:rowOff>0</xdr:rowOff>
    </xdr:to>
    <xdr:sp macro="" textlink="">
      <xdr:nvSpPr>
        <xdr:cNvPr id="2762" name="Option Button 2761">
          <a:extLst>
            <a:ext uri="{FF2B5EF4-FFF2-40B4-BE49-F238E27FC236}">
              <a16:creationId xmlns:a16="http://schemas.microsoft.com/office/drawing/2014/main" id="{00000000-0008-0000-3200-0000C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3" name="Option Button 2762">
          <a:extLst>
            <a:ext uri="{FF2B5EF4-FFF2-40B4-BE49-F238E27FC236}">
              <a16:creationId xmlns:a16="http://schemas.microsoft.com/office/drawing/2014/main" id="{00000000-0008-0000-3200-0000C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4" name="Option Button 2763">
          <a:extLst>
            <a:ext uri="{FF2B5EF4-FFF2-40B4-BE49-F238E27FC236}">
              <a16:creationId xmlns:a16="http://schemas.microsoft.com/office/drawing/2014/main" id="{00000000-0008-0000-3200-0000C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5" name="Option Button 2764">
          <a:extLst>
            <a:ext uri="{FF2B5EF4-FFF2-40B4-BE49-F238E27FC236}">
              <a16:creationId xmlns:a16="http://schemas.microsoft.com/office/drawing/2014/main" id="{00000000-0008-0000-3200-0000C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6" name="Group Box 2765" descr="Group Box 5">
          <a:extLst>
            <a:ext uri="{FF2B5EF4-FFF2-40B4-BE49-F238E27FC236}">
              <a16:creationId xmlns:a16="http://schemas.microsoft.com/office/drawing/2014/main" id="{00000000-0008-0000-3200-0000CE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573</xdr:row>
      <xdr:rowOff>28440</xdr:rowOff>
    </xdr:from>
    <xdr:to>
      <xdr:col>7</xdr:col>
      <xdr:colOff>-363960</xdr:colOff>
      <xdr:row>574</xdr:row>
      <xdr:rowOff>0</xdr:rowOff>
    </xdr:to>
    <xdr:sp macro="" textlink="">
      <xdr:nvSpPr>
        <xdr:cNvPr id="2767" name="Option Button 2766">
          <a:extLst>
            <a:ext uri="{FF2B5EF4-FFF2-40B4-BE49-F238E27FC236}">
              <a16:creationId xmlns:a16="http://schemas.microsoft.com/office/drawing/2014/main" id="{00000000-0008-0000-3200-0000C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8" name="Option Button 2767">
          <a:extLst>
            <a:ext uri="{FF2B5EF4-FFF2-40B4-BE49-F238E27FC236}">
              <a16:creationId xmlns:a16="http://schemas.microsoft.com/office/drawing/2014/main" id="{00000000-0008-0000-3200-0000D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9" name="Option Button 2768">
          <a:extLst>
            <a:ext uri="{FF2B5EF4-FFF2-40B4-BE49-F238E27FC236}">
              <a16:creationId xmlns:a16="http://schemas.microsoft.com/office/drawing/2014/main" id="{00000000-0008-0000-3200-0000D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0" name="Option Button 2769">
          <a:extLst>
            <a:ext uri="{FF2B5EF4-FFF2-40B4-BE49-F238E27FC236}">
              <a16:creationId xmlns:a16="http://schemas.microsoft.com/office/drawing/2014/main" id="{00000000-0008-0000-3200-0000D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1" name="Group Box 2770" descr="Group Box 5">
          <a:extLst>
            <a:ext uri="{FF2B5EF4-FFF2-40B4-BE49-F238E27FC236}">
              <a16:creationId xmlns:a16="http://schemas.microsoft.com/office/drawing/2014/main" id="{00000000-0008-0000-3200-0000D3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574</xdr:row>
      <xdr:rowOff>28440</xdr:rowOff>
    </xdr:from>
    <xdr:to>
      <xdr:col>7</xdr:col>
      <xdr:colOff>-363960</xdr:colOff>
      <xdr:row>575</xdr:row>
      <xdr:rowOff>0</xdr:rowOff>
    </xdr:to>
    <xdr:sp macro="" textlink="">
      <xdr:nvSpPr>
        <xdr:cNvPr id="2772" name="Option Button 2771">
          <a:extLst>
            <a:ext uri="{FF2B5EF4-FFF2-40B4-BE49-F238E27FC236}">
              <a16:creationId xmlns:a16="http://schemas.microsoft.com/office/drawing/2014/main" id="{00000000-0008-0000-3200-0000D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3" name="Option Button 2772">
          <a:extLst>
            <a:ext uri="{FF2B5EF4-FFF2-40B4-BE49-F238E27FC236}">
              <a16:creationId xmlns:a16="http://schemas.microsoft.com/office/drawing/2014/main" id="{00000000-0008-0000-3200-0000D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4" name="Option Button 2773">
          <a:extLst>
            <a:ext uri="{FF2B5EF4-FFF2-40B4-BE49-F238E27FC236}">
              <a16:creationId xmlns:a16="http://schemas.microsoft.com/office/drawing/2014/main" id="{00000000-0008-0000-3200-0000D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5" name="Option Button 2774">
          <a:extLst>
            <a:ext uri="{FF2B5EF4-FFF2-40B4-BE49-F238E27FC236}">
              <a16:creationId xmlns:a16="http://schemas.microsoft.com/office/drawing/2014/main" id="{00000000-0008-0000-3200-0000D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6" name="Group Box 2775" descr="Group Box 5">
          <a:extLst>
            <a:ext uri="{FF2B5EF4-FFF2-40B4-BE49-F238E27FC236}">
              <a16:creationId xmlns:a16="http://schemas.microsoft.com/office/drawing/2014/main" id="{00000000-0008-0000-3200-0000D8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575</xdr:row>
      <xdr:rowOff>28440</xdr:rowOff>
    </xdr:from>
    <xdr:to>
      <xdr:col>7</xdr:col>
      <xdr:colOff>-363960</xdr:colOff>
      <xdr:row>576</xdr:row>
      <xdr:rowOff>0</xdr:rowOff>
    </xdr:to>
    <xdr:sp macro="" textlink="">
      <xdr:nvSpPr>
        <xdr:cNvPr id="2777" name="Option Button 2776">
          <a:extLst>
            <a:ext uri="{FF2B5EF4-FFF2-40B4-BE49-F238E27FC236}">
              <a16:creationId xmlns:a16="http://schemas.microsoft.com/office/drawing/2014/main" id="{00000000-0008-0000-3200-0000D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8" name="Option Button 2777">
          <a:extLst>
            <a:ext uri="{FF2B5EF4-FFF2-40B4-BE49-F238E27FC236}">
              <a16:creationId xmlns:a16="http://schemas.microsoft.com/office/drawing/2014/main" id="{00000000-0008-0000-3200-0000D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9" name="Option Button 2778">
          <a:extLst>
            <a:ext uri="{FF2B5EF4-FFF2-40B4-BE49-F238E27FC236}">
              <a16:creationId xmlns:a16="http://schemas.microsoft.com/office/drawing/2014/main" id="{00000000-0008-0000-3200-0000D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0" name="Option Button 2779">
          <a:extLst>
            <a:ext uri="{FF2B5EF4-FFF2-40B4-BE49-F238E27FC236}">
              <a16:creationId xmlns:a16="http://schemas.microsoft.com/office/drawing/2014/main" id="{00000000-0008-0000-3200-0000D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1" name="Group Box 2780" descr="Group Box 5">
          <a:extLst>
            <a:ext uri="{FF2B5EF4-FFF2-40B4-BE49-F238E27FC236}">
              <a16:creationId xmlns:a16="http://schemas.microsoft.com/office/drawing/2014/main" id="{00000000-0008-0000-3200-0000DD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576</xdr:row>
      <xdr:rowOff>28440</xdr:rowOff>
    </xdr:from>
    <xdr:to>
      <xdr:col>7</xdr:col>
      <xdr:colOff>-363960</xdr:colOff>
      <xdr:row>577</xdr:row>
      <xdr:rowOff>0</xdr:rowOff>
    </xdr:to>
    <xdr:sp macro="" textlink="">
      <xdr:nvSpPr>
        <xdr:cNvPr id="2782" name="Option Button 2781">
          <a:extLst>
            <a:ext uri="{FF2B5EF4-FFF2-40B4-BE49-F238E27FC236}">
              <a16:creationId xmlns:a16="http://schemas.microsoft.com/office/drawing/2014/main" id="{00000000-0008-0000-3200-0000D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3" name="Option Button 2782">
          <a:extLst>
            <a:ext uri="{FF2B5EF4-FFF2-40B4-BE49-F238E27FC236}">
              <a16:creationId xmlns:a16="http://schemas.microsoft.com/office/drawing/2014/main" id="{00000000-0008-0000-3200-0000D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4" name="Option Button 2783">
          <a:extLst>
            <a:ext uri="{FF2B5EF4-FFF2-40B4-BE49-F238E27FC236}">
              <a16:creationId xmlns:a16="http://schemas.microsoft.com/office/drawing/2014/main" id="{00000000-0008-0000-3200-0000E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5" name="Option Button 2784">
          <a:extLst>
            <a:ext uri="{FF2B5EF4-FFF2-40B4-BE49-F238E27FC236}">
              <a16:creationId xmlns:a16="http://schemas.microsoft.com/office/drawing/2014/main" id="{00000000-0008-0000-3200-0000E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6" name="Group Box 2785" descr="Group Box 5">
          <a:extLst>
            <a:ext uri="{FF2B5EF4-FFF2-40B4-BE49-F238E27FC236}">
              <a16:creationId xmlns:a16="http://schemas.microsoft.com/office/drawing/2014/main" id="{00000000-0008-0000-3200-0000E2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577</xdr:row>
      <xdr:rowOff>28440</xdr:rowOff>
    </xdr:from>
    <xdr:to>
      <xdr:col>7</xdr:col>
      <xdr:colOff>-363960</xdr:colOff>
      <xdr:row>578</xdr:row>
      <xdr:rowOff>0</xdr:rowOff>
    </xdr:to>
    <xdr:sp macro="" textlink="">
      <xdr:nvSpPr>
        <xdr:cNvPr id="2787" name="Option Button 2786">
          <a:extLst>
            <a:ext uri="{FF2B5EF4-FFF2-40B4-BE49-F238E27FC236}">
              <a16:creationId xmlns:a16="http://schemas.microsoft.com/office/drawing/2014/main" id="{00000000-0008-0000-3200-0000E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8" name="Option Button 2787">
          <a:extLst>
            <a:ext uri="{FF2B5EF4-FFF2-40B4-BE49-F238E27FC236}">
              <a16:creationId xmlns:a16="http://schemas.microsoft.com/office/drawing/2014/main" id="{00000000-0008-0000-3200-0000E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9" name="Option Button 2788">
          <a:extLst>
            <a:ext uri="{FF2B5EF4-FFF2-40B4-BE49-F238E27FC236}">
              <a16:creationId xmlns:a16="http://schemas.microsoft.com/office/drawing/2014/main" id="{00000000-0008-0000-3200-0000E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0" name="Option Button 2789">
          <a:extLst>
            <a:ext uri="{FF2B5EF4-FFF2-40B4-BE49-F238E27FC236}">
              <a16:creationId xmlns:a16="http://schemas.microsoft.com/office/drawing/2014/main" id="{00000000-0008-0000-3200-0000E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1" name="Group Box 2790" descr="Group Box 5">
          <a:extLst>
            <a:ext uri="{FF2B5EF4-FFF2-40B4-BE49-F238E27FC236}">
              <a16:creationId xmlns:a16="http://schemas.microsoft.com/office/drawing/2014/main" id="{00000000-0008-0000-3200-0000E7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578</xdr:row>
      <xdr:rowOff>28440</xdr:rowOff>
    </xdr:from>
    <xdr:to>
      <xdr:col>7</xdr:col>
      <xdr:colOff>-363960</xdr:colOff>
      <xdr:row>579</xdr:row>
      <xdr:rowOff>0</xdr:rowOff>
    </xdr:to>
    <xdr:sp macro="" textlink="">
      <xdr:nvSpPr>
        <xdr:cNvPr id="2792" name="Option Button 2791">
          <a:extLst>
            <a:ext uri="{FF2B5EF4-FFF2-40B4-BE49-F238E27FC236}">
              <a16:creationId xmlns:a16="http://schemas.microsoft.com/office/drawing/2014/main" id="{00000000-0008-0000-3200-0000E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3" name="Option Button 2792">
          <a:extLst>
            <a:ext uri="{FF2B5EF4-FFF2-40B4-BE49-F238E27FC236}">
              <a16:creationId xmlns:a16="http://schemas.microsoft.com/office/drawing/2014/main" id="{00000000-0008-0000-3200-0000E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4" name="Option Button 2793">
          <a:extLst>
            <a:ext uri="{FF2B5EF4-FFF2-40B4-BE49-F238E27FC236}">
              <a16:creationId xmlns:a16="http://schemas.microsoft.com/office/drawing/2014/main" id="{00000000-0008-0000-3200-0000E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5" name="Option Button 2794">
          <a:extLst>
            <a:ext uri="{FF2B5EF4-FFF2-40B4-BE49-F238E27FC236}">
              <a16:creationId xmlns:a16="http://schemas.microsoft.com/office/drawing/2014/main" id="{00000000-0008-0000-3200-0000E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6" name="Group Box 2795" descr="Group Box 5">
          <a:extLst>
            <a:ext uri="{FF2B5EF4-FFF2-40B4-BE49-F238E27FC236}">
              <a16:creationId xmlns:a16="http://schemas.microsoft.com/office/drawing/2014/main" id="{00000000-0008-0000-3200-0000EC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579</xdr:row>
      <xdr:rowOff>28440</xdr:rowOff>
    </xdr:from>
    <xdr:to>
      <xdr:col>7</xdr:col>
      <xdr:colOff>-363960</xdr:colOff>
      <xdr:row>580</xdr:row>
      <xdr:rowOff>0</xdr:rowOff>
    </xdr:to>
    <xdr:sp macro="" textlink="">
      <xdr:nvSpPr>
        <xdr:cNvPr id="2797" name="Option Button 2796">
          <a:extLst>
            <a:ext uri="{FF2B5EF4-FFF2-40B4-BE49-F238E27FC236}">
              <a16:creationId xmlns:a16="http://schemas.microsoft.com/office/drawing/2014/main" id="{00000000-0008-0000-3200-0000E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8" name="Option Button 2797">
          <a:extLst>
            <a:ext uri="{FF2B5EF4-FFF2-40B4-BE49-F238E27FC236}">
              <a16:creationId xmlns:a16="http://schemas.microsoft.com/office/drawing/2014/main" id="{00000000-0008-0000-3200-0000E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9" name="Option Button 2798">
          <a:extLst>
            <a:ext uri="{FF2B5EF4-FFF2-40B4-BE49-F238E27FC236}">
              <a16:creationId xmlns:a16="http://schemas.microsoft.com/office/drawing/2014/main" id="{00000000-0008-0000-3200-0000E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0" name="Option Button 2799">
          <a:extLst>
            <a:ext uri="{FF2B5EF4-FFF2-40B4-BE49-F238E27FC236}">
              <a16:creationId xmlns:a16="http://schemas.microsoft.com/office/drawing/2014/main" id="{00000000-0008-0000-3200-0000F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1" name="Group Box 2800" descr="Group Box 5">
          <a:extLst>
            <a:ext uri="{FF2B5EF4-FFF2-40B4-BE49-F238E27FC236}">
              <a16:creationId xmlns:a16="http://schemas.microsoft.com/office/drawing/2014/main" id="{00000000-0008-0000-3200-0000F1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580</xdr:row>
      <xdr:rowOff>28440</xdr:rowOff>
    </xdr:from>
    <xdr:to>
      <xdr:col>7</xdr:col>
      <xdr:colOff>-363960</xdr:colOff>
      <xdr:row>581</xdr:row>
      <xdr:rowOff>0</xdr:rowOff>
    </xdr:to>
    <xdr:sp macro="" textlink="">
      <xdr:nvSpPr>
        <xdr:cNvPr id="2802" name="Option Button 2801">
          <a:extLst>
            <a:ext uri="{FF2B5EF4-FFF2-40B4-BE49-F238E27FC236}">
              <a16:creationId xmlns:a16="http://schemas.microsoft.com/office/drawing/2014/main" id="{00000000-0008-0000-3200-0000F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3" name="Option Button 2802">
          <a:extLst>
            <a:ext uri="{FF2B5EF4-FFF2-40B4-BE49-F238E27FC236}">
              <a16:creationId xmlns:a16="http://schemas.microsoft.com/office/drawing/2014/main" id="{00000000-0008-0000-3200-0000F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4" name="Option Button 2803">
          <a:extLst>
            <a:ext uri="{FF2B5EF4-FFF2-40B4-BE49-F238E27FC236}">
              <a16:creationId xmlns:a16="http://schemas.microsoft.com/office/drawing/2014/main" id="{00000000-0008-0000-3200-0000F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5" name="Option Button 2804">
          <a:extLst>
            <a:ext uri="{FF2B5EF4-FFF2-40B4-BE49-F238E27FC236}">
              <a16:creationId xmlns:a16="http://schemas.microsoft.com/office/drawing/2014/main" id="{00000000-0008-0000-3200-0000F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6" name="Group Box 2805" descr="Group Box 5">
          <a:extLst>
            <a:ext uri="{FF2B5EF4-FFF2-40B4-BE49-F238E27FC236}">
              <a16:creationId xmlns:a16="http://schemas.microsoft.com/office/drawing/2014/main" id="{00000000-0008-0000-3200-0000F6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581</xdr:row>
      <xdr:rowOff>28440</xdr:rowOff>
    </xdr:from>
    <xdr:to>
      <xdr:col>7</xdr:col>
      <xdr:colOff>-363960</xdr:colOff>
      <xdr:row>582</xdr:row>
      <xdr:rowOff>0</xdr:rowOff>
    </xdr:to>
    <xdr:sp macro="" textlink="">
      <xdr:nvSpPr>
        <xdr:cNvPr id="2807" name="Option Button 2806">
          <a:extLst>
            <a:ext uri="{FF2B5EF4-FFF2-40B4-BE49-F238E27FC236}">
              <a16:creationId xmlns:a16="http://schemas.microsoft.com/office/drawing/2014/main" id="{00000000-0008-0000-3200-0000F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8" name="Option Button 2807">
          <a:extLst>
            <a:ext uri="{FF2B5EF4-FFF2-40B4-BE49-F238E27FC236}">
              <a16:creationId xmlns:a16="http://schemas.microsoft.com/office/drawing/2014/main" id="{00000000-0008-0000-3200-0000F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9" name="Option Button 2808">
          <a:extLst>
            <a:ext uri="{FF2B5EF4-FFF2-40B4-BE49-F238E27FC236}">
              <a16:creationId xmlns:a16="http://schemas.microsoft.com/office/drawing/2014/main" id="{00000000-0008-0000-3200-0000F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0" name="Option Button 2809">
          <a:extLst>
            <a:ext uri="{FF2B5EF4-FFF2-40B4-BE49-F238E27FC236}">
              <a16:creationId xmlns:a16="http://schemas.microsoft.com/office/drawing/2014/main" id="{00000000-0008-0000-3200-0000F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1" name="Group Box 2810" descr="Group Box 5">
          <a:extLst>
            <a:ext uri="{FF2B5EF4-FFF2-40B4-BE49-F238E27FC236}">
              <a16:creationId xmlns:a16="http://schemas.microsoft.com/office/drawing/2014/main" id="{00000000-0008-0000-3200-0000FB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582</xdr:row>
      <xdr:rowOff>28440</xdr:rowOff>
    </xdr:from>
    <xdr:to>
      <xdr:col>7</xdr:col>
      <xdr:colOff>-363960</xdr:colOff>
      <xdr:row>583</xdr:row>
      <xdr:rowOff>0</xdr:rowOff>
    </xdr:to>
    <xdr:sp macro="" textlink="">
      <xdr:nvSpPr>
        <xdr:cNvPr id="2812" name="Option Button 2811">
          <a:extLst>
            <a:ext uri="{FF2B5EF4-FFF2-40B4-BE49-F238E27FC236}">
              <a16:creationId xmlns:a16="http://schemas.microsoft.com/office/drawing/2014/main" id="{00000000-0008-0000-3200-0000F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3" name="Option Button 2812">
          <a:extLst>
            <a:ext uri="{FF2B5EF4-FFF2-40B4-BE49-F238E27FC236}">
              <a16:creationId xmlns:a16="http://schemas.microsoft.com/office/drawing/2014/main" id="{00000000-0008-0000-3200-0000F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4" name="Option Button 2813">
          <a:extLst>
            <a:ext uri="{FF2B5EF4-FFF2-40B4-BE49-F238E27FC236}">
              <a16:creationId xmlns:a16="http://schemas.microsoft.com/office/drawing/2014/main" id="{00000000-0008-0000-3200-0000F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5" name="Option Button 2814">
          <a:extLst>
            <a:ext uri="{FF2B5EF4-FFF2-40B4-BE49-F238E27FC236}">
              <a16:creationId xmlns:a16="http://schemas.microsoft.com/office/drawing/2014/main" id="{00000000-0008-0000-3200-0000F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6" name="Group Box 2815" descr="Group Box 5">
          <a:extLst>
            <a:ext uri="{FF2B5EF4-FFF2-40B4-BE49-F238E27FC236}">
              <a16:creationId xmlns:a16="http://schemas.microsoft.com/office/drawing/2014/main" id="{00000000-0008-0000-3200-000000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583</xdr:row>
      <xdr:rowOff>28440</xdr:rowOff>
    </xdr:from>
    <xdr:to>
      <xdr:col>7</xdr:col>
      <xdr:colOff>-363960</xdr:colOff>
      <xdr:row>584</xdr:row>
      <xdr:rowOff>0</xdr:rowOff>
    </xdr:to>
    <xdr:sp macro="" textlink="">
      <xdr:nvSpPr>
        <xdr:cNvPr id="2817" name="Option Button 2816">
          <a:extLst>
            <a:ext uri="{FF2B5EF4-FFF2-40B4-BE49-F238E27FC236}">
              <a16:creationId xmlns:a16="http://schemas.microsoft.com/office/drawing/2014/main" id="{00000000-0008-0000-3200-00000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8" name="Option Button 2817">
          <a:extLst>
            <a:ext uri="{FF2B5EF4-FFF2-40B4-BE49-F238E27FC236}">
              <a16:creationId xmlns:a16="http://schemas.microsoft.com/office/drawing/2014/main" id="{00000000-0008-0000-3200-00000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9" name="Option Button 2818">
          <a:extLst>
            <a:ext uri="{FF2B5EF4-FFF2-40B4-BE49-F238E27FC236}">
              <a16:creationId xmlns:a16="http://schemas.microsoft.com/office/drawing/2014/main" id="{00000000-0008-0000-3200-00000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0" name="Option Button 2819">
          <a:extLst>
            <a:ext uri="{FF2B5EF4-FFF2-40B4-BE49-F238E27FC236}">
              <a16:creationId xmlns:a16="http://schemas.microsoft.com/office/drawing/2014/main" id="{00000000-0008-0000-3200-00000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1" name="Group Box 2820" descr="Group Box 5">
          <a:extLst>
            <a:ext uri="{FF2B5EF4-FFF2-40B4-BE49-F238E27FC236}">
              <a16:creationId xmlns:a16="http://schemas.microsoft.com/office/drawing/2014/main" id="{00000000-0008-0000-3200-000005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584</xdr:row>
      <xdr:rowOff>28440</xdr:rowOff>
    </xdr:from>
    <xdr:to>
      <xdr:col>7</xdr:col>
      <xdr:colOff>-363960</xdr:colOff>
      <xdr:row>585</xdr:row>
      <xdr:rowOff>0</xdr:rowOff>
    </xdr:to>
    <xdr:sp macro="" textlink="">
      <xdr:nvSpPr>
        <xdr:cNvPr id="2822" name="Option Button 2821">
          <a:extLst>
            <a:ext uri="{FF2B5EF4-FFF2-40B4-BE49-F238E27FC236}">
              <a16:creationId xmlns:a16="http://schemas.microsoft.com/office/drawing/2014/main" id="{00000000-0008-0000-3200-00000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3" name="Option Button 2822">
          <a:extLst>
            <a:ext uri="{FF2B5EF4-FFF2-40B4-BE49-F238E27FC236}">
              <a16:creationId xmlns:a16="http://schemas.microsoft.com/office/drawing/2014/main" id="{00000000-0008-0000-3200-00000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4" name="Option Button 2823">
          <a:extLst>
            <a:ext uri="{FF2B5EF4-FFF2-40B4-BE49-F238E27FC236}">
              <a16:creationId xmlns:a16="http://schemas.microsoft.com/office/drawing/2014/main" id="{00000000-0008-0000-3200-00000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5" name="Option Button 2824">
          <a:extLst>
            <a:ext uri="{FF2B5EF4-FFF2-40B4-BE49-F238E27FC236}">
              <a16:creationId xmlns:a16="http://schemas.microsoft.com/office/drawing/2014/main" id="{00000000-0008-0000-3200-00000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6" name="Group Box 2825" descr="Group Box 5">
          <a:extLst>
            <a:ext uri="{FF2B5EF4-FFF2-40B4-BE49-F238E27FC236}">
              <a16:creationId xmlns:a16="http://schemas.microsoft.com/office/drawing/2014/main" id="{00000000-0008-0000-3200-00000A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585</xdr:row>
      <xdr:rowOff>28440</xdr:rowOff>
    </xdr:from>
    <xdr:to>
      <xdr:col>7</xdr:col>
      <xdr:colOff>-363960</xdr:colOff>
      <xdr:row>586</xdr:row>
      <xdr:rowOff>0</xdr:rowOff>
    </xdr:to>
    <xdr:sp macro="" textlink="">
      <xdr:nvSpPr>
        <xdr:cNvPr id="2827" name="Option Button 2826">
          <a:extLst>
            <a:ext uri="{FF2B5EF4-FFF2-40B4-BE49-F238E27FC236}">
              <a16:creationId xmlns:a16="http://schemas.microsoft.com/office/drawing/2014/main" id="{00000000-0008-0000-3200-00000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8" name="Option Button 2827">
          <a:extLst>
            <a:ext uri="{FF2B5EF4-FFF2-40B4-BE49-F238E27FC236}">
              <a16:creationId xmlns:a16="http://schemas.microsoft.com/office/drawing/2014/main" id="{00000000-0008-0000-3200-00000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9" name="Option Button 2828">
          <a:extLst>
            <a:ext uri="{FF2B5EF4-FFF2-40B4-BE49-F238E27FC236}">
              <a16:creationId xmlns:a16="http://schemas.microsoft.com/office/drawing/2014/main" id="{00000000-0008-0000-3200-00000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0" name="Option Button 2829">
          <a:extLst>
            <a:ext uri="{FF2B5EF4-FFF2-40B4-BE49-F238E27FC236}">
              <a16:creationId xmlns:a16="http://schemas.microsoft.com/office/drawing/2014/main" id="{00000000-0008-0000-3200-00000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1" name="Group Box 2830" descr="Group Box 5">
          <a:extLst>
            <a:ext uri="{FF2B5EF4-FFF2-40B4-BE49-F238E27FC236}">
              <a16:creationId xmlns:a16="http://schemas.microsoft.com/office/drawing/2014/main" id="{00000000-0008-0000-3200-00000F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586</xdr:row>
      <xdr:rowOff>28440</xdr:rowOff>
    </xdr:from>
    <xdr:to>
      <xdr:col>7</xdr:col>
      <xdr:colOff>-363960</xdr:colOff>
      <xdr:row>587</xdr:row>
      <xdr:rowOff>0</xdr:rowOff>
    </xdr:to>
    <xdr:sp macro="" textlink="">
      <xdr:nvSpPr>
        <xdr:cNvPr id="2832" name="Option Button 2831">
          <a:extLst>
            <a:ext uri="{FF2B5EF4-FFF2-40B4-BE49-F238E27FC236}">
              <a16:creationId xmlns:a16="http://schemas.microsoft.com/office/drawing/2014/main" id="{00000000-0008-0000-3200-00001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3" name="Option Button 2832">
          <a:extLst>
            <a:ext uri="{FF2B5EF4-FFF2-40B4-BE49-F238E27FC236}">
              <a16:creationId xmlns:a16="http://schemas.microsoft.com/office/drawing/2014/main" id="{00000000-0008-0000-3200-00001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4" name="Option Button 2833">
          <a:extLst>
            <a:ext uri="{FF2B5EF4-FFF2-40B4-BE49-F238E27FC236}">
              <a16:creationId xmlns:a16="http://schemas.microsoft.com/office/drawing/2014/main" id="{00000000-0008-0000-3200-00001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5" name="Option Button 2834">
          <a:extLst>
            <a:ext uri="{FF2B5EF4-FFF2-40B4-BE49-F238E27FC236}">
              <a16:creationId xmlns:a16="http://schemas.microsoft.com/office/drawing/2014/main" id="{00000000-0008-0000-3200-00001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6" name="Group Box 2835" descr="Group Box 5">
          <a:extLst>
            <a:ext uri="{FF2B5EF4-FFF2-40B4-BE49-F238E27FC236}">
              <a16:creationId xmlns:a16="http://schemas.microsoft.com/office/drawing/2014/main" id="{00000000-0008-0000-3200-000014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587</xdr:row>
      <xdr:rowOff>28440</xdr:rowOff>
    </xdr:from>
    <xdr:to>
      <xdr:col>7</xdr:col>
      <xdr:colOff>-363960</xdr:colOff>
      <xdr:row>588</xdr:row>
      <xdr:rowOff>0</xdr:rowOff>
    </xdr:to>
    <xdr:sp macro="" textlink="">
      <xdr:nvSpPr>
        <xdr:cNvPr id="2837" name="Option Button 2836">
          <a:extLst>
            <a:ext uri="{FF2B5EF4-FFF2-40B4-BE49-F238E27FC236}">
              <a16:creationId xmlns:a16="http://schemas.microsoft.com/office/drawing/2014/main" id="{00000000-0008-0000-3200-00001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8" name="Option Button 2837">
          <a:extLst>
            <a:ext uri="{FF2B5EF4-FFF2-40B4-BE49-F238E27FC236}">
              <a16:creationId xmlns:a16="http://schemas.microsoft.com/office/drawing/2014/main" id="{00000000-0008-0000-3200-00001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9" name="Option Button 2838">
          <a:extLst>
            <a:ext uri="{FF2B5EF4-FFF2-40B4-BE49-F238E27FC236}">
              <a16:creationId xmlns:a16="http://schemas.microsoft.com/office/drawing/2014/main" id="{00000000-0008-0000-3200-00001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0" name="Option Button 2839">
          <a:extLst>
            <a:ext uri="{FF2B5EF4-FFF2-40B4-BE49-F238E27FC236}">
              <a16:creationId xmlns:a16="http://schemas.microsoft.com/office/drawing/2014/main" id="{00000000-0008-0000-3200-00001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1" name="Group Box 2840" descr="Group Box 5">
          <a:extLst>
            <a:ext uri="{FF2B5EF4-FFF2-40B4-BE49-F238E27FC236}">
              <a16:creationId xmlns:a16="http://schemas.microsoft.com/office/drawing/2014/main" id="{00000000-0008-0000-3200-000019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588</xdr:row>
      <xdr:rowOff>28440</xdr:rowOff>
    </xdr:from>
    <xdr:to>
      <xdr:col>7</xdr:col>
      <xdr:colOff>-363960</xdr:colOff>
      <xdr:row>589</xdr:row>
      <xdr:rowOff>0</xdr:rowOff>
    </xdr:to>
    <xdr:sp macro="" textlink="">
      <xdr:nvSpPr>
        <xdr:cNvPr id="2842" name="Option Button 2841">
          <a:extLst>
            <a:ext uri="{FF2B5EF4-FFF2-40B4-BE49-F238E27FC236}">
              <a16:creationId xmlns:a16="http://schemas.microsoft.com/office/drawing/2014/main" id="{00000000-0008-0000-3200-00001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3" name="Option Button 2842">
          <a:extLst>
            <a:ext uri="{FF2B5EF4-FFF2-40B4-BE49-F238E27FC236}">
              <a16:creationId xmlns:a16="http://schemas.microsoft.com/office/drawing/2014/main" id="{00000000-0008-0000-3200-00001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4" name="Option Button 2843">
          <a:extLst>
            <a:ext uri="{FF2B5EF4-FFF2-40B4-BE49-F238E27FC236}">
              <a16:creationId xmlns:a16="http://schemas.microsoft.com/office/drawing/2014/main" id="{00000000-0008-0000-3200-00001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5" name="Option Button 2844">
          <a:extLst>
            <a:ext uri="{FF2B5EF4-FFF2-40B4-BE49-F238E27FC236}">
              <a16:creationId xmlns:a16="http://schemas.microsoft.com/office/drawing/2014/main" id="{00000000-0008-0000-3200-00001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6" name="Group Box 2845" descr="Group Box 5">
          <a:extLst>
            <a:ext uri="{FF2B5EF4-FFF2-40B4-BE49-F238E27FC236}">
              <a16:creationId xmlns:a16="http://schemas.microsoft.com/office/drawing/2014/main" id="{00000000-0008-0000-3200-00001E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589</xdr:row>
      <xdr:rowOff>28440</xdr:rowOff>
    </xdr:from>
    <xdr:to>
      <xdr:col>7</xdr:col>
      <xdr:colOff>-363960</xdr:colOff>
      <xdr:row>590</xdr:row>
      <xdr:rowOff>0</xdr:rowOff>
    </xdr:to>
    <xdr:sp macro="" textlink="">
      <xdr:nvSpPr>
        <xdr:cNvPr id="2847" name="Option Button 2846">
          <a:extLst>
            <a:ext uri="{FF2B5EF4-FFF2-40B4-BE49-F238E27FC236}">
              <a16:creationId xmlns:a16="http://schemas.microsoft.com/office/drawing/2014/main" id="{00000000-0008-0000-3200-00001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8" name="Option Button 2847">
          <a:extLst>
            <a:ext uri="{FF2B5EF4-FFF2-40B4-BE49-F238E27FC236}">
              <a16:creationId xmlns:a16="http://schemas.microsoft.com/office/drawing/2014/main" id="{00000000-0008-0000-3200-00002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9" name="Option Button 2848">
          <a:extLst>
            <a:ext uri="{FF2B5EF4-FFF2-40B4-BE49-F238E27FC236}">
              <a16:creationId xmlns:a16="http://schemas.microsoft.com/office/drawing/2014/main" id="{00000000-0008-0000-3200-00002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0" name="Option Button 2849">
          <a:extLst>
            <a:ext uri="{FF2B5EF4-FFF2-40B4-BE49-F238E27FC236}">
              <a16:creationId xmlns:a16="http://schemas.microsoft.com/office/drawing/2014/main" id="{00000000-0008-0000-3200-00002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1" name="Group Box 2850" descr="Group Box 5">
          <a:extLst>
            <a:ext uri="{FF2B5EF4-FFF2-40B4-BE49-F238E27FC236}">
              <a16:creationId xmlns:a16="http://schemas.microsoft.com/office/drawing/2014/main" id="{00000000-0008-0000-3200-000023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590</xdr:row>
      <xdr:rowOff>28440</xdr:rowOff>
    </xdr:from>
    <xdr:to>
      <xdr:col>7</xdr:col>
      <xdr:colOff>-363960</xdr:colOff>
      <xdr:row>591</xdr:row>
      <xdr:rowOff>0</xdr:rowOff>
    </xdr:to>
    <xdr:sp macro="" textlink="">
      <xdr:nvSpPr>
        <xdr:cNvPr id="2852" name="Option Button 2851">
          <a:extLst>
            <a:ext uri="{FF2B5EF4-FFF2-40B4-BE49-F238E27FC236}">
              <a16:creationId xmlns:a16="http://schemas.microsoft.com/office/drawing/2014/main" id="{00000000-0008-0000-3200-00002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3" name="Option Button 2852">
          <a:extLst>
            <a:ext uri="{FF2B5EF4-FFF2-40B4-BE49-F238E27FC236}">
              <a16:creationId xmlns:a16="http://schemas.microsoft.com/office/drawing/2014/main" id="{00000000-0008-0000-3200-00002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4" name="Option Button 2853">
          <a:extLst>
            <a:ext uri="{FF2B5EF4-FFF2-40B4-BE49-F238E27FC236}">
              <a16:creationId xmlns:a16="http://schemas.microsoft.com/office/drawing/2014/main" id="{00000000-0008-0000-3200-00002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5" name="Option Button 2854">
          <a:extLst>
            <a:ext uri="{FF2B5EF4-FFF2-40B4-BE49-F238E27FC236}">
              <a16:creationId xmlns:a16="http://schemas.microsoft.com/office/drawing/2014/main" id="{00000000-0008-0000-3200-00002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6" name="Group Box 2855" descr="Group Box 5">
          <a:extLst>
            <a:ext uri="{FF2B5EF4-FFF2-40B4-BE49-F238E27FC236}">
              <a16:creationId xmlns:a16="http://schemas.microsoft.com/office/drawing/2014/main" id="{00000000-0008-0000-3200-000028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591</xdr:row>
      <xdr:rowOff>28440</xdr:rowOff>
    </xdr:from>
    <xdr:to>
      <xdr:col>7</xdr:col>
      <xdr:colOff>-363960</xdr:colOff>
      <xdr:row>592</xdr:row>
      <xdr:rowOff>0</xdr:rowOff>
    </xdr:to>
    <xdr:sp macro="" textlink="">
      <xdr:nvSpPr>
        <xdr:cNvPr id="2857" name="Option Button 2856">
          <a:extLst>
            <a:ext uri="{FF2B5EF4-FFF2-40B4-BE49-F238E27FC236}">
              <a16:creationId xmlns:a16="http://schemas.microsoft.com/office/drawing/2014/main" id="{00000000-0008-0000-3200-00002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8" name="Option Button 2857">
          <a:extLst>
            <a:ext uri="{FF2B5EF4-FFF2-40B4-BE49-F238E27FC236}">
              <a16:creationId xmlns:a16="http://schemas.microsoft.com/office/drawing/2014/main" id="{00000000-0008-0000-3200-00002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9" name="Option Button 2858">
          <a:extLst>
            <a:ext uri="{FF2B5EF4-FFF2-40B4-BE49-F238E27FC236}">
              <a16:creationId xmlns:a16="http://schemas.microsoft.com/office/drawing/2014/main" id="{00000000-0008-0000-3200-00002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0" name="Option Button 2859">
          <a:extLst>
            <a:ext uri="{FF2B5EF4-FFF2-40B4-BE49-F238E27FC236}">
              <a16:creationId xmlns:a16="http://schemas.microsoft.com/office/drawing/2014/main" id="{00000000-0008-0000-3200-00002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1" name="Group Box 2860" descr="Group Box 5">
          <a:extLst>
            <a:ext uri="{FF2B5EF4-FFF2-40B4-BE49-F238E27FC236}">
              <a16:creationId xmlns:a16="http://schemas.microsoft.com/office/drawing/2014/main" id="{00000000-0008-0000-3200-00002D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592</xdr:row>
      <xdr:rowOff>28440</xdr:rowOff>
    </xdr:from>
    <xdr:to>
      <xdr:col>7</xdr:col>
      <xdr:colOff>-363960</xdr:colOff>
      <xdr:row>593</xdr:row>
      <xdr:rowOff>0</xdr:rowOff>
    </xdr:to>
    <xdr:sp macro="" textlink="">
      <xdr:nvSpPr>
        <xdr:cNvPr id="2862" name="Option Button 2861">
          <a:extLst>
            <a:ext uri="{FF2B5EF4-FFF2-40B4-BE49-F238E27FC236}">
              <a16:creationId xmlns:a16="http://schemas.microsoft.com/office/drawing/2014/main" id="{00000000-0008-0000-3200-00002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3" name="Option Button 2862">
          <a:extLst>
            <a:ext uri="{FF2B5EF4-FFF2-40B4-BE49-F238E27FC236}">
              <a16:creationId xmlns:a16="http://schemas.microsoft.com/office/drawing/2014/main" id="{00000000-0008-0000-3200-00002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4" name="Option Button 2863">
          <a:extLst>
            <a:ext uri="{FF2B5EF4-FFF2-40B4-BE49-F238E27FC236}">
              <a16:creationId xmlns:a16="http://schemas.microsoft.com/office/drawing/2014/main" id="{00000000-0008-0000-3200-00003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5" name="Option Button 2864">
          <a:extLst>
            <a:ext uri="{FF2B5EF4-FFF2-40B4-BE49-F238E27FC236}">
              <a16:creationId xmlns:a16="http://schemas.microsoft.com/office/drawing/2014/main" id="{00000000-0008-0000-3200-00003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6" name="Group Box 2865" descr="Group Box 5">
          <a:extLst>
            <a:ext uri="{FF2B5EF4-FFF2-40B4-BE49-F238E27FC236}">
              <a16:creationId xmlns:a16="http://schemas.microsoft.com/office/drawing/2014/main" id="{00000000-0008-0000-3200-000032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593</xdr:row>
      <xdr:rowOff>28440</xdr:rowOff>
    </xdr:from>
    <xdr:to>
      <xdr:col>7</xdr:col>
      <xdr:colOff>-363960</xdr:colOff>
      <xdr:row>594</xdr:row>
      <xdr:rowOff>0</xdr:rowOff>
    </xdr:to>
    <xdr:sp macro="" textlink="">
      <xdr:nvSpPr>
        <xdr:cNvPr id="2867" name="Option Button 2866">
          <a:extLst>
            <a:ext uri="{FF2B5EF4-FFF2-40B4-BE49-F238E27FC236}">
              <a16:creationId xmlns:a16="http://schemas.microsoft.com/office/drawing/2014/main" id="{00000000-0008-0000-3200-00003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8" name="Option Button 2867">
          <a:extLst>
            <a:ext uri="{FF2B5EF4-FFF2-40B4-BE49-F238E27FC236}">
              <a16:creationId xmlns:a16="http://schemas.microsoft.com/office/drawing/2014/main" id="{00000000-0008-0000-3200-00003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9" name="Option Button 2868">
          <a:extLst>
            <a:ext uri="{FF2B5EF4-FFF2-40B4-BE49-F238E27FC236}">
              <a16:creationId xmlns:a16="http://schemas.microsoft.com/office/drawing/2014/main" id="{00000000-0008-0000-3200-00003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0" name="Option Button 2869">
          <a:extLst>
            <a:ext uri="{FF2B5EF4-FFF2-40B4-BE49-F238E27FC236}">
              <a16:creationId xmlns:a16="http://schemas.microsoft.com/office/drawing/2014/main" id="{00000000-0008-0000-3200-00003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1" name="Group Box 2870" descr="Group Box 5">
          <a:extLst>
            <a:ext uri="{FF2B5EF4-FFF2-40B4-BE49-F238E27FC236}">
              <a16:creationId xmlns:a16="http://schemas.microsoft.com/office/drawing/2014/main" id="{00000000-0008-0000-3200-000037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594</xdr:row>
      <xdr:rowOff>28440</xdr:rowOff>
    </xdr:from>
    <xdr:to>
      <xdr:col>7</xdr:col>
      <xdr:colOff>-363960</xdr:colOff>
      <xdr:row>595</xdr:row>
      <xdr:rowOff>0</xdr:rowOff>
    </xdr:to>
    <xdr:sp macro="" textlink="">
      <xdr:nvSpPr>
        <xdr:cNvPr id="2872" name="Option Button 2871">
          <a:extLst>
            <a:ext uri="{FF2B5EF4-FFF2-40B4-BE49-F238E27FC236}">
              <a16:creationId xmlns:a16="http://schemas.microsoft.com/office/drawing/2014/main" id="{00000000-0008-0000-3200-00003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3" name="Option Button 2872">
          <a:extLst>
            <a:ext uri="{FF2B5EF4-FFF2-40B4-BE49-F238E27FC236}">
              <a16:creationId xmlns:a16="http://schemas.microsoft.com/office/drawing/2014/main" id="{00000000-0008-0000-3200-00003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4" name="Option Button 2873">
          <a:extLst>
            <a:ext uri="{FF2B5EF4-FFF2-40B4-BE49-F238E27FC236}">
              <a16:creationId xmlns:a16="http://schemas.microsoft.com/office/drawing/2014/main" id="{00000000-0008-0000-3200-00003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5" name="Option Button 2874">
          <a:extLst>
            <a:ext uri="{FF2B5EF4-FFF2-40B4-BE49-F238E27FC236}">
              <a16:creationId xmlns:a16="http://schemas.microsoft.com/office/drawing/2014/main" id="{00000000-0008-0000-3200-00003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6" name="Group Box 2875" descr="Group Box 5">
          <a:extLst>
            <a:ext uri="{FF2B5EF4-FFF2-40B4-BE49-F238E27FC236}">
              <a16:creationId xmlns:a16="http://schemas.microsoft.com/office/drawing/2014/main" id="{00000000-0008-0000-3200-00003C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595</xdr:row>
      <xdr:rowOff>28440</xdr:rowOff>
    </xdr:from>
    <xdr:to>
      <xdr:col>7</xdr:col>
      <xdr:colOff>-363960</xdr:colOff>
      <xdr:row>596</xdr:row>
      <xdr:rowOff>0</xdr:rowOff>
    </xdr:to>
    <xdr:sp macro="" textlink="">
      <xdr:nvSpPr>
        <xdr:cNvPr id="2877" name="Option Button 2876">
          <a:extLst>
            <a:ext uri="{FF2B5EF4-FFF2-40B4-BE49-F238E27FC236}">
              <a16:creationId xmlns:a16="http://schemas.microsoft.com/office/drawing/2014/main" id="{00000000-0008-0000-3200-00003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8" name="Option Button 2877">
          <a:extLst>
            <a:ext uri="{FF2B5EF4-FFF2-40B4-BE49-F238E27FC236}">
              <a16:creationId xmlns:a16="http://schemas.microsoft.com/office/drawing/2014/main" id="{00000000-0008-0000-3200-00003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9" name="Option Button 2878">
          <a:extLst>
            <a:ext uri="{FF2B5EF4-FFF2-40B4-BE49-F238E27FC236}">
              <a16:creationId xmlns:a16="http://schemas.microsoft.com/office/drawing/2014/main" id="{00000000-0008-0000-3200-00003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0" name="Option Button 2879">
          <a:extLst>
            <a:ext uri="{FF2B5EF4-FFF2-40B4-BE49-F238E27FC236}">
              <a16:creationId xmlns:a16="http://schemas.microsoft.com/office/drawing/2014/main" id="{00000000-0008-0000-3200-00004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1" name="Group Box 2880" descr="Group Box 5">
          <a:extLst>
            <a:ext uri="{FF2B5EF4-FFF2-40B4-BE49-F238E27FC236}">
              <a16:creationId xmlns:a16="http://schemas.microsoft.com/office/drawing/2014/main" id="{00000000-0008-0000-3200-000041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596</xdr:row>
      <xdr:rowOff>28440</xdr:rowOff>
    </xdr:from>
    <xdr:to>
      <xdr:col>7</xdr:col>
      <xdr:colOff>-363960</xdr:colOff>
      <xdr:row>597</xdr:row>
      <xdr:rowOff>0</xdr:rowOff>
    </xdr:to>
    <xdr:sp macro="" textlink="">
      <xdr:nvSpPr>
        <xdr:cNvPr id="2882" name="Option Button 2881">
          <a:extLst>
            <a:ext uri="{FF2B5EF4-FFF2-40B4-BE49-F238E27FC236}">
              <a16:creationId xmlns:a16="http://schemas.microsoft.com/office/drawing/2014/main" id="{00000000-0008-0000-3200-00004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3" name="Option Button 2882">
          <a:extLst>
            <a:ext uri="{FF2B5EF4-FFF2-40B4-BE49-F238E27FC236}">
              <a16:creationId xmlns:a16="http://schemas.microsoft.com/office/drawing/2014/main" id="{00000000-0008-0000-3200-00004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4" name="Option Button 2883">
          <a:extLst>
            <a:ext uri="{FF2B5EF4-FFF2-40B4-BE49-F238E27FC236}">
              <a16:creationId xmlns:a16="http://schemas.microsoft.com/office/drawing/2014/main" id="{00000000-0008-0000-3200-00004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5" name="Option Button 2884">
          <a:extLst>
            <a:ext uri="{FF2B5EF4-FFF2-40B4-BE49-F238E27FC236}">
              <a16:creationId xmlns:a16="http://schemas.microsoft.com/office/drawing/2014/main" id="{00000000-0008-0000-3200-00004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6" name="Group Box 2885" descr="Group Box 5">
          <a:extLst>
            <a:ext uri="{FF2B5EF4-FFF2-40B4-BE49-F238E27FC236}">
              <a16:creationId xmlns:a16="http://schemas.microsoft.com/office/drawing/2014/main" id="{00000000-0008-0000-3200-000046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597</xdr:row>
      <xdr:rowOff>28440</xdr:rowOff>
    </xdr:from>
    <xdr:to>
      <xdr:col>7</xdr:col>
      <xdr:colOff>-363960</xdr:colOff>
      <xdr:row>598</xdr:row>
      <xdr:rowOff>0</xdr:rowOff>
    </xdr:to>
    <xdr:sp macro="" textlink="">
      <xdr:nvSpPr>
        <xdr:cNvPr id="2887" name="Option Button 2886">
          <a:extLst>
            <a:ext uri="{FF2B5EF4-FFF2-40B4-BE49-F238E27FC236}">
              <a16:creationId xmlns:a16="http://schemas.microsoft.com/office/drawing/2014/main" id="{00000000-0008-0000-3200-00004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8" name="Option Button 2887">
          <a:extLst>
            <a:ext uri="{FF2B5EF4-FFF2-40B4-BE49-F238E27FC236}">
              <a16:creationId xmlns:a16="http://schemas.microsoft.com/office/drawing/2014/main" id="{00000000-0008-0000-3200-00004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9" name="Option Button 2888">
          <a:extLst>
            <a:ext uri="{FF2B5EF4-FFF2-40B4-BE49-F238E27FC236}">
              <a16:creationId xmlns:a16="http://schemas.microsoft.com/office/drawing/2014/main" id="{00000000-0008-0000-3200-00004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0" name="Option Button 2889">
          <a:extLst>
            <a:ext uri="{FF2B5EF4-FFF2-40B4-BE49-F238E27FC236}">
              <a16:creationId xmlns:a16="http://schemas.microsoft.com/office/drawing/2014/main" id="{00000000-0008-0000-3200-00004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1" name="Group Box 2890" descr="Group Box 5">
          <a:extLst>
            <a:ext uri="{FF2B5EF4-FFF2-40B4-BE49-F238E27FC236}">
              <a16:creationId xmlns:a16="http://schemas.microsoft.com/office/drawing/2014/main" id="{00000000-0008-0000-3200-00004B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598</xdr:row>
      <xdr:rowOff>28440</xdr:rowOff>
    </xdr:from>
    <xdr:to>
      <xdr:col>7</xdr:col>
      <xdr:colOff>-363960</xdr:colOff>
      <xdr:row>599</xdr:row>
      <xdr:rowOff>0</xdr:rowOff>
    </xdr:to>
    <xdr:sp macro="" textlink="">
      <xdr:nvSpPr>
        <xdr:cNvPr id="2892" name="Option Button 2891">
          <a:extLst>
            <a:ext uri="{FF2B5EF4-FFF2-40B4-BE49-F238E27FC236}">
              <a16:creationId xmlns:a16="http://schemas.microsoft.com/office/drawing/2014/main" id="{00000000-0008-0000-3200-00004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3" name="Option Button 2892">
          <a:extLst>
            <a:ext uri="{FF2B5EF4-FFF2-40B4-BE49-F238E27FC236}">
              <a16:creationId xmlns:a16="http://schemas.microsoft.com/office/drawing/2014/main" id="{00000000-0008-0000-3200-00004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4" name="Option Button 2893">
          <a:extLst>
            <a:ext uri="{FF2B5EF4-FFF2-40B4-BE49-F238E27FC236}">
              <a16:creationId xmlns:a16="http://schemas.microsoft.com/office/drawing/2014/main" id="{00000000-0008-0000-3200-00004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5" name="Option Button 2894">
          <a:extLst>
            <a:ext uri="{FF2B5EF4-FFF2-40B4-BE49-F238E27FC236}">
              <a16:creationId xmlns:a16="http://schemas.microsoft.com/office/drawing/2014/main" id="{00000000-0008-0000-3200-00004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6" name="Group Box 2895" descr="Group Box 5">
          <a:extLst>
            <a:ext uri="{FF2B5EF4-FFF2-40B4-BE49-F238E27FC236}">
              <a16:creationId xmlns:a16="http://schemas.microsoft.com/office/drawing/2014/main" id="{00000000-0008-0000-3200-000050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599</xdr:row>
      <xdr:rowOff>28440</xdr:rowOff>
    </xdr:from>
    <xdr:to>
      <xdr:col>7</xdr:col>
      <xdr:colOff>-363960</xdr:colOff>
      <xdr:row>600</xdr:row>
      <xdr:rowOff>0</xdr:rowOff>
    </xdr:to>
    <xdr:sp macro="" textlink="">
      <xdr:nvSpPr>
        <xdr:cNvPr id="2897" name="Option Button 2896">
          <a:extLst>
            <a:ext uri="{FF2B5EF4-FFF2-40B4-BE49-F238E27FC236}">
              <a16:creationId xmlns:a16="http://schemas.microsoft.com/office/drawing/2014/main" id="{00000000-0008-0000-3200-00005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8" name="Option Button 2897">
          <a:extLst>
            <a:ext uri="{FF2B5EF4-FFF2-40B4-BE49-F238E27FC236}">
              <a16:creationId xmlns:a16="http://schemas.microsoft.com/office/drawing/2014/main" id="{00000000-0008-0000-3200-00005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9" name="Option Button 2898">
          <a:extLst>
            <a:ext uri="{FF2B5EF4-FFF2-40B4-BE49-F238E27FC236}">
              <a16:creationId xmlns:a16="http://schemas.microsoft.com/office/drawing/2014/main" id="{00000000-0008-0000-3200-00005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0" name="Option Button 2899">
          <a:extLst>
            <a:ext uri="{FF2B5EF4-FFF2-40B4-BE49-F238E27FC236}">
              <a16:creationId xmlns:a16="http://schemas.microsoft.com/office/drawing/2014/main" id="{00000000-0008-0000-3200-00005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1" name="Group Box 2900" descr="Group Box 5">
          <a:extLst>
            <a:ext uri="{FF2B5EF4-FFF2-40B4-BE49-F238E27FC236}">
              <a16:creationId xmlns:a16="http://schemas.microsoft.com/office/drawing/2014/main" id="{00000000-0008-0000-3200-000055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xdr:row>
      <xdr:rowOff>28440</xdr:rowOff>
    </xdr:from>
    <xdr:to>
      <xdr:col>7</xdr:col>
      <xdr:colOff>-363960</xdr:colOff>
      <xdr:row>2</xdr:row>
      <xdr:rowOff>0</xdr:rowOff>
    </xdr:to>
    <xdr:sp macro="" textlink="">
      <xdr:nvSpPr>
        <xdr:cNvPr id="2902" name="Option Button 2901">
          <a:extLst>
            <a:ext uri="{FF2B5EF4-FFF2-40B4-BE49-F238E27FC236}">
              <a16:creationId xmlns:a16="http://schemas.microsoft.com/office/drawing/2014/main" id="{00000000-0008-0000-3200-00005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3" name="Option Button 2902">
          <a:extLst>
            <a:ext uri="{FF2B5EF4-FFF2-40B4-BE49-F238E27FC236}">
              <a16:creationId xmlns:a16="http://schemas.microsoft.com/office/drawing/2014/main" id="{00000000-0008-0000-3200-00005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4" name="Option Button 2903">
          <a:extLst>
            <a:ext uri="{FF2B5EF4-FFF2-40B4-BE49-F238E27FC236}">
              <a16:creationId xmlns:a16="http://schemas.microsoft.com/office/drawing/2014/main" id="{00000000-0008-0000-3200-00005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5" name="Option Button 2904">
          <a:extLst>
            <a:ext uri="{FF2B5EF4-FFF2-40B4-BE49-F238E27FC236}">
              <a16:creationId xmlns:a16="http://schemas.microsoft.com/office/drawing/2014/main" id="{00000000-0008-0000-3200-00005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6" name="Group Box 2905" descr="Group Box 5">
          <a:extLst>
            <a:ext uri="{FF2B5EF4-FFF2-40B4-BE49-F238E27FC236}">
              <a16:creationId xmlns:a16="http://schemas.microsoft.com/office/drawing/2014/main" id="{00000000-0008-0000-3200-00005A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xdr:row>
      <xdr:rowOff>28440</xdr:rowOff>
    </xdr:from>
    <xdr:to>
      <xdr:col>7</xdr:col>
      <xdr:colOff>-363960</xdr:colOff>
      <xdr:row>3</xdr:row>
      <xdr:rowOff>0</xdr:rowOff>
    </xdr:to>
    <xdr:sp macro="" textlink="">
      <xdr:nvSpPr>
        <xdr:cNvPr id="2907" name="Option Button 2906">
          <a:extLst>
            <a:ext uri="{FF2B5EF4-FFF2-40B4-BE49-F238E27FC236}">
              <a16:creationId xmlns:a16="http://schemas.microsoft.com/office/drawing/2014/main" id="{00000000-0008-0000-3200-00005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8" name="Option Button 2907">
          <a:extLst>
            <a:ext uri="{FF2B5EF4-FFF2-40B4-BE49-F238E27FC236}">
              <a16:creationId xmlns:a16="http://schemas.microsoft.com/office/drawing/2014/main" id="{00000000-0008-0000-3200-00005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9" name="Option Button 2908">
          <a:extLst>
            <a:ext uri="{FF2B5EF4-FFF2-40B4-BE49-F238E27FC236}">
              <a16:creationId xmlns:a16="http://schemas.microsoft.com/office/drawing/2014/main" id="{00000000-0008-0000-3200-00005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0" name="Option Button 2909">
          <a:extLst>
            <a:ext uri="{FF2B5EF4-FFF2-40B4-BE49-F238E27FC236}">
              <a16:creationId xmlns:a16="http://schemas.microsoft.com/office/drawing/2014/main" id="{00000000-0008-0000-3200-00005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1" name="Group Box 2910" descr="Group Box 5">
          <a:extLst>
            <a:ext uri="{FF2B5EF4-FFF2-40B4-BE49-F238E27FC236}">
              <a16:creationId xmlns:a16="http://schemas.microsoft.com/office/drawing/2014/main" id="{00000000-0008-0000-3200-00005F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xdr:row>
      <xdr:rowOff>28440</xdr:rowOff>
    </xdr:from>
    <xdr:to>
      <xdr:col>7</xdr:col>
      <xdr:colOff>-363960</xdr:colOff>
      <xdr:row>4</xdr:row>
      <xdr:rowOff>0</xdr:rowOff>
    </xdr:to>
    <xdr:sp macro="" textlink="">
      <xdr:nvSpPr>
        <xdr:cNvPr id="2912" name="Option Button 2911">
          <a:extLst>
            <a:ext uri="{FF2B5EF4-FFF2-40B4-BE49-F238E27FC236}">
              <a16:creationId xmlns:a16="http://schemas.microsoft.com/office/drawing/2014/main" id="{00000000-0008-0000-3200-00006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3" name="Option Button 2912">
          <a:extLst>
            <a:ext uri="{FF2B5EF4-FFF2-40B4-BE49-F238E27FC236}">
              <a16:creationId xmlns:a16="http://schemas.microsoft.com/office/drawing/2014/main" id="{00000000-0008-0000-3200-00006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4" name="Option Button 2913">
          <a:extLst>
            <a:ext uri="{FF2B5EF4-FFF2-40B4-BE49-F238E27FC236}">
              <a16:creationId xmlns:a16="http://schemas.microsoft.com/office/drawing/2014/main" id="{00000000-0008-0000-3200-00006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5" name="Option Button 2914">
          <a:extLst>
            <a:ext uri="{FF2B5EF4-FFF2-40B4-BE49-F238E27FC236}">
              <a16:creationId xmlns:a16="http://schemas.microsoft.com/office/drawing/2014/main" id="{00000000-0008-0000-3200-00006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6" name="Group Box 2915" descr="Group Box 5">
          <a:extLst>
            <a:ext uri="{FF2B5EF4-FFF2-40B4-BE49-F238E27FC236}">
              <a16:creationId xmlns:a16="http://schemas.microsoft.com/office/drawing/2014/main" id="{00000000-0008-0000-3200-000064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xdr:row>
      <xdr:rowOff>28440</xdr:rowOff>
    </xdr:from>
    <xdr:to>
      <xdr:col>7</xdr:col>
      <xdr:colOff>-363960</xdr:colOff>
      <xdr:row>5</xdr:row>
      <xdr:rowOff>0</xdr:rowOff>
    </xdr:to>
    <xdr:sp macro="" textlink="">
      <xdr:nvSpPr>
        <xdr:cNvPr id="2917" name="Option Button 2916">
          <a:extLst>
            <a:ext uri="{FF2B5EF4-FFF2-40B4-BE49-F238E27FC236}">
              <a16:creationId xmlns:a16="http://schemas.microsoft.com/office/drawing/2014/main" id="{00000000-0008-0000-3200-00006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8" name="Option Button 2917">
          <a:extLst>
            <a:ext uri="{FF2B5EF4-FFF2-40B4-BE49-F238E27FC236}">
              <a16:creationId xmlns:a16="http://schemas.microsoft.com/office/drawing/2014/main" id="{00000000-0008-0000-3200-00006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9" name="Option Button 2918">
          <a:extLst>
            <a:ext uri="{FF2B5EF4-FFF2-40B4-BE49-F238E27FC236}">
              <a16:creationId xmlns:a16="http://schemas.microsoft.com/office/drawing/2014/main" id="{00000000-0008-0000-3200-00006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0" name="Option Button 2919">
          <a:extLst>
            <a:ext uri="{FF2B5EF4-FFF2-40B4-BE49-F238E27FC236}">
              <a16:creationId xmlns:a16="http://schemas.microsoft.com/office/drawing/2014/main" id="{00000000-0008-0000-3200-00006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1" name="Group Box 2920" descr="Group Box 5">
          <a:extLst>
            <a:ext uri="{FF2B5EF4-FFF2-40B4-BE49-F238E27FC236}">
              <a16:creationId xmlns:a16="http://schemas.microsoft.com/office/drawing/2014/main" id="{00000000-0008-0000-3200-000069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xdr:row>
      <xdr:rowOff>28440</xdr:rowOff>
    </xdr:from>
    <xdr:to>
      <xdr:col>7</xdr:col>
      <xdr:colOff>-363960</xdr:colOff>
      <xdr:row>6</xdr:row>
      <xdr:rowOff>0</xdr:rowOff>
    </xdr:to>
    <xdr:sp macro="" textlink="">
      <xdr:nvSpPr>
        <xdr:cNvPr id="2922" name="Option Button 2921">
          <a:extLst>
            <a:ext uri="{FF2B5EF4-FFF2-40B4-BE49-F238E27FC236}">
              <a16:creationId xmlns:a16="http://schemas.microsoft.com/office/drawing/2014/main" id="{00000000-0008-0000-3200-00006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3" name="Option Button 2922">
          <a:extLst>
            <a:ext uri="{FF2B5EF4-FFF2-40B4-BE49-F238E27FC236}">
              <a16:creationId xmlns:a16="http://schemas.microsoft.com/office/drawing/2014/main" id="{00000000-0008-0000-3200-00006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4" name="Option Button 2923">
          <a:extLst>
            <a:ext uri="{FF2B5EF4-FFF2-40B4-BE49-F238E27FC236}">
              <a16:creationId xmlns:a16="http://schemas.microsoft.com/office/drawing/2014/main" id="{00000000-0008-0000-3200-00006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5" name="Option Button 2924">
          <a:extLst>
            <a:ext uri="{FF2B5EF4-FFF2-40B4-BE49-F238E27FC236}">
              <a16:creationId xmlns:a16="http://schemas.microsoft.com/office/drawing/2014/main" id="{00000000-0008-0000-3200-00006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6" name="Group Box 2925" descr="Group Box 5">
          <a:extLst>
            <a:ext uri="{FF2B5EF4-FFF2-40B4-BE49-F238E27FC236}">
              <a16:creationId xmlns:a16="http://schemas.microsoft.com/office/drawing/2014/main" id="{00000000-0008-0000-3200-00006E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xdr:row>
      <xdr:rowOff>28440</xdr:rowOff>
    </xdr:from>
    <xdr:to>
      <xdr:col>7</xdr:col>
      <xdr:colOff>-363960</xdr:colOff>
      <xdr:row>7</xdr:row>
      <xdr:rowOff>0</xdr:rowOff>
    </xdr:to>
    <xdr:sp macro="" textlink="">
      <xdr:nvSpPr>
        <xdr:cNvPr id="2927" name="Option Button 2926">
          <a:extLst>
            <a:ext uri="{FF2B5EF4-FFF2-40B4-BE49-F238E27FC236}">
              <a16:creationId xmlns:a16="http://schemas.microsoft.com/office/drawing/2014/main" id="{00000000-0008-0000-3200-00006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8" name="Option Button 2927">
          <a:extLst>
            <a:ext uri="{FF2B5EF4-FFF2-40B4-BE49-F238E27FC236}">
              <a16:creationId xmlns:a16="http://schemas.microsoft.com/office/drawing/2014/main" id="{00000000-0008-0000-3200-00007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9" name="Option Button 2928">
          <a:extLst>
            <a:ext uri="{FF2B5EF4-FFF2-40B4-BE49-F238E27FC236}">
              <a16:creationId xmlns:a16="http://schemas.microsoft.com/office/drawing/2014/main" id="{00000000-0008-0000-3200-00007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0" name="Option Button 2929">
          <a:extLst>
            <a:ext uri="{FF2B5EF4-FFF2-40B4-BE49-F238E27FC236}">
              <a16:creationId xmlns:a16="http://schemas.microsoft.com/office/drawing/2014/main" id="{00000000-0008-0000-3200-00007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1" name="Group Box 2930" descr="Group Box 5">
          <a:extLst>
            <a:ext uri="{FF2B5EF4-FFF2-40B4-BE49-F238E27FC236}">
              <a16:creationId xmlns:a16="http://schemas.microsoft.com/office/drawing/2014/main" id="{00000000-0008-0000-3200-000073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xdr:row>
      <xdr:rowOff>28440</xdr:rowOff>
    </xdr:from>
    <xdr:to>
      <xdr:col>7</xdr:col>
      <xdr:colOff>-363960</xdr:colOff>
      <xdr:row>8</xdr:row>
      <xdr:rowOff>0</xdr:rowOff>
    </xdr:to>
    <xdr:sp macro="" textlink="">
      <xdr:nvSpPr>
        <xdr:cNvPr id="2932" name="Option Button 2931">
          <a:extLst>
            <a:ext uri="{FF2B5EF4-FFF2-40B4-BE49-F238E27FC236}">
              <a16:creationId xmlns:a16="http://schemas.microsoft.com/office/drawing/2014/main" id="{00000000-0008-0000-3200-00007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3" name="Option Button 2932">
          <a:extLst>
            <a:ext uri="{FF2B5EF4-FFF2-40B4-BE49-F238E27FC236}">
              <a16:creationId xmlns:a16="http://schemas.microsoft.com/office/drawing/2014/main" id="{00000000-0008-0000-3200-00007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4" name="Option Button 2933">
          <a:extLst>
            <a:ext uri="{FF2B5EF4-FFF2-40B4-BE49-F238E27FC236}">
              <a16:creationId xmlns:a16="http://schemas.microsoft.com/office/drawing/2014/main" id="{00000000-0008-0000-3200-00007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5" name="Option Button 2934">
          <a:extLst>
            <a:ext uri="{FF2B5EF4-FFF2-40B4-BE49-F238E27FC236}">
              <a16:creationId xmlns:a16="http://schemas.microsoft.com/office/drawing/2014/main" id="{00000000-0008-0000-3200-00007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6" name="Group Box 2935" descr="Group Box 5">
          <a:extLst>
            <a:ext uri="{FF2B5EF4-FFF2-40B4-BE49-F238E27FC236}">
              <a16:creationId xmlns:a16="http://schemas.microsoft.com/office/drawing/2014/main" id="{00000000-0008-0000-3200-000078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xdr:row>
      <xdr:rowOff>28440</xdr:rowOff>
    </xdr:from>
    <xdr:to>
      <xdr:col>7</xdr:col>
      <xdr:colOff>-363960</xdr:colOff>
      <xdr:row>9</xdr:row>
      <xdr:rowOff>0</xdr:rowOff>
    </xdr:to>
    <xdr:sp macro="" textlink="">
      <xdr:nvSpPr>
        <xdr:cNvPr id="2937" name="Option Button 2936">
          <a:extLst>
            <a:ext uri="{FF2B5EF4-FFF2-40B4-BE49-F238E27FC236}">
              <a16:creationId xmlns:a16="http://schemas.microsoft.com/office/drawing/2014/main" id="{00000000-0008-0000-3200-00007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8" name="Option Button 2937">
          <a:extLst>
            <a:ext uri="{FF2B5EF4-FFF2-40B4-BE49-F238E27FC236}">
              <a16:creationId xmlns:a16="http://schemas.microsoft.com/office/drawing/2014/main" id="{00000000-0008-0000-3200-00007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9" name="Option Button 2938">
          <a:extLst>
            <a:ext uri="{FF2B5EF4-FFF2-40B4-BE49-F238E27FC236}">
              <a16:creationId xmlns:a16="http://schemas.microsoft.com/office/drawing/2014/main" id="{00000000-0008-0000-3200-00007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0" name="Option Button 2939">
          <a:extLst>
            <a:ext uri="{FF2B5EF4-FFF2-40B4-BE49-F238E27FC236}">
              <a16:creationId xmlns:a16="http://schemas.microsoft.com/office/drawing/2014/main" id="{00000000-0008-0000-3200-00007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1" name="Group Box 2940" descr="Group Box 5">
          <a:extLst>
            <a:ext uri="{FF2B5EF4-FFF2-40B4-BE49-F238E27FC236}">
              <a16:creationId xmlns:a16="http://schemas.microsoft.com/office/drawing/2014/main" id="{00000000-0008-0000-3200-00007D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xdr:row>
      <xdr:rowOff>28440</xdr:rowOff>
    </xdr:from>
    <xdr:to>
      <xdr:col>7</xdr:col>
      <xdr:colOff>-363960</xdr:colOff>
      <xdr:row>10</xdr:row>
      <xdr:rowOff>0</xdr:rowOff>
    </xdr:to>
    <xdr:sp macro="" textlink="">
      <xdr:nvSpPr>
        <xdr:cNvPr id="2942" name="Option Button 2941">
          <a:extLst>
            <a:ext uri="{FF2B5EF4-FFF2-40B4-BE49-F238E27FC236}">
              <a16:creationId xmlns:a16="http://schemas.microsoft.com/office/drawing/2014/main" id="{00000000-0008-0000-3200-00007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3" name="Option Button 2942">
          <a:extLst>
            <a:ext uri="{FF2B5EF4-FFF2-40B4-BE49-F238E27FC236}">
              <a16:creationId xmlns:a16="http://schemas.microsoft.com/office/drawing/2014/main" id="{00000000-0008-0000-3200-00007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4" name="Option Button 2943">
          <a:extLst>
            <a:ext uri="{FF2B5EF4-FFF2-40B4-BE49-F238E27FC236}">
              <a16:creationId xmlns:a16="http://schemas.microsoft.com/office/drawing/2014/main" id="{00000000-0008-0000-3200-00008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5" name="Option Button 2944">
          <a:extLst>
            <a:ext uri="{FF2B5EF4-FFF2-40B4-BE49-F238E27FC236}">
              <a16:creationId xmlns:a16="http://schemas.microsoft.com/office/drawing/2014/main" id="{00000000-0008-0000-3200-00008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6" name="Group Box 2945" descr="Group Box 5">
          <a:extLst>
            <a:ext uri="{FF2B5EF4-FFF2-40B4-BE49-F238E27FC236}">
              <a16:creationId xmlns:a16="http://schemas.microsoft.com/office/drawing/2014/main" id="{00000000-0008-0000-3200-000082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xdr:row>
      <xdr:rowOff>28440</xdr:rowOff>
    </xdr:from>
    <xdr:to>
      <xdr:col>7</xdr:col>
      <xdr:colOff>-363960</xdr:colOff>
      <xdr:row>11</xdr:row>
      <xdr:rowOff>0</xdr:rowOff>
    </xdr:to>
    <xdr:sp macro="" textlink="">
      <xdr:nvSpPr>
        <xdr:cNvPr id="2947" name="Option Button 2946">
          <a:extLst>
            <a:ext uri="{FF2B5EF4-FFF2-40B4-BE49-F238E27FC236}">
              <a16:creationId xmlns:a16="http://schemas.microsoft.com/office/drawing/2014/main" id="{00000000-0008-0000-3200-00008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8" name="Option Button 2947">
          <a:extLst>
            <a:ext uri="{FF2B5EF4-FFF2-40B4-BE49-F238E27FC236}">
              <a16:creationId xmlns:a16="http://schemas.microsoft.com/office/drawing/2014/main" id="{00000000-0008-0000-3200-00008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9" name="Option Button 2948">
          <a:extLst>
            <a:ext uri="{FF2B5EF4-FFF2-40B4-BE49-F238E27FC236}">
              <a16:creationId xmlns:a16="http://schemas.microsoft.com/office/drawing/2014/main" id="{00000000-0008-0000-3200-00008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0" name="Option Button 2949">
          <a:extLst>
            <a:ext uri="{FF2B5EF4-FFF2-40B4-BE49-F238E27FC236}">
              <a16:creationId xmlns:a16="http://schemas.microsoft.com/office/drawing/2014/main" id="{00000000-0008-0000-3200-00008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1" name="Group Box 2950" descr="Group Box 5">
          <a:extLst>
            <a:ext uri="{FF2B5EF4-FFF2-40B4-BE49-F238E27FC236}">
              <a16:creationId xmlns:a16="http://schemas.microsoft.com/office/drawing/2014/main" id="{00000000-0008-0000-3200-000087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xdr:row>
      <xdr:rowOff>28440</xdr:rowOff>
    </xdr:from>
    <xdr:to>
      <xdr:col>7</xdr:col>
      <xdr:colOff>-363960</xdr:colOff>
      <xdr:row>12</xdr:row>
      <xdr:rowOff>0</xdr:rowOff>
    </xdr:to>
    <xdr:sp macro="" textlink="">
      <xdr:nvSpPr>
        <xdr:cNvPr id="2952" name="Option Button 2951">
          <a:extLst>
            <a:ext uri="{FF2B5EF4-FFF2-40B4-BE49-F238E27FC236}">
              <a16:creationId xmlns:a16="http://schemas.microsoft.com/office/drawing/2014/main" id="{00000000-0008-0000-3200-00008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3" name="Option Button 2952">
          <a:extLst>
            <a:ext uri="{FF2B5EF4-FFF2-40B4-BE49-F238E27FC236}">
              <a16:creationId xmlns:a16="http://schemas.microsoft.com/office/drawing/2014/main" id="{00000000-0008-0000-3200-00008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4" name="Option Button 2953">
          <a:extLst>
            <a:ext uri="{FF2B5EF4-FFF2-40B4-BE49-F238E27FC236}">
              <a16:creationId xmlns:a16="http://schemas.microsoft.com/office/drawing/2014/main" id="{00000000-0008-0000-3200-00008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5" name="Option Button 2954">
          <a:extLst>
            <a:ext uri="{FF2B5EF4-FFF2-40B4-BE49-F238E27FC236}">
              <a16:creationId xmlns:a16="http://schemas.microsoft.com/office/drawing/2014/main" id="{00000000-0008-0000-3200-00008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6" name="Group Box 2955" descr="Group Box 5">
          <a:extLst>
            <a:ext uri="{FF2B5EF4-FFF2-40B4-BE49-F238E27FC236}">
              <a16:creationId xmlns:a16="http://schemas.microsoft.com/office/drawing/2014/main" id="{00000000-0008-0000-3200-00008C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xdr:row>
      <xdr:rowOff>28440</xdr:rowOff>
    </xdr:from>
    <xdr:to>
      <xdr:col>7</xdr:col>
      <xdr:colOff>-363960</xdr:colOff>
      <xdr:row>13</xdr:row>
      <xdr:rowOff>0</xdr:rowOff>
    </xdr:to>
    <xdr:sp macro="" textlink="">
      <xdr:nvSpPr>
        <xdr:cNvPr id="2957" name="Option Button 2956">
          <a:extLst>
            <a:ext uri="{FF2B5EF4-FFF2-40B4-BE49-F238E27FC236}">
              <a16:creationId xmlns:a16="http://schemas.microsoft.com/office/drawing/2014/main" id="{00000000-0008-0000-3200-00008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8" name="Option Button 2957">
          <a:extLst>
            <a:ext uri="{FF2B5EF4-FFF2-40B4-BE49-F238E27FC236}">
              <a16:creationId xmlns:a16="http://schemas.microsoft.com/office/drawing/2014/main" id="{00000000-0008-0000-3200-00008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9" name="Option Button 2958">
          <a:extLst>
            <a:ext uri="{FF2B5EF4-FFF2-40B4-BE49-F238E27FC236}">
              <a16:creationId xmlns:a16="http://schemas.microsoft.com/office/drawing/2014/main" id="{00000000-0008-0000-3200-00008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0" name="Option Button 2959">
          <a:extLst>
            <a:ext uri="{FF2B5EF4-FFF2-40B4-BE49-F238E27FC236}">
              <a16:creationId xmlns:a16="http://schemas.microsoft.com/office/drawing/2014/main" id="{00000000-0008-0000-3200-00009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1" name="Group Box 2960" descr="Group Box 5">
          <a:extLst>
            <a:ext uri="{FF2B5EF4-FFF2-40B4-BE49-F238E27FC236}">
              <a16:creationId xmlns:a16="http://schemas.microsoft.com/office/drawing/2014/main" id="{00000000-0008-0000-3200-000091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xdr:row>
      <xdr:rowOff>28440</xdr:rowOff>
    </xdr:from>
    <xdr:to>
      <xdr:col>7</xdr:col>
      <xdr:colOff>-363960</xdr:colOff>
      <xdr:row>14</xdr:row>
      <xdr:rowOff>0</xdr:rowOff>
    </xdr:to>
    <xdr:sp macro="" textlink="">
      <xdr:nvSpPr>
        <xdr:cNvPr id="2962" name="Option Button 2961">
          <a:extLst>
            <a:ext uri="{FF2B5EF4-FFF2-40B4-BE49-F238E27FC236}">
              <a16:creationId xmlns:a16="http://schemas.microsoft.com/office/drawing/2014/main" id="{00000000-0008-0000-3200-00009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3" name="Option Button 2962">
          <a:extLst>
            <a:ext uri="{FF2B5EF4-FFF2-40B4-BE49-F238E27FC236}">
              <a16:creationId xmlns:a16="http://schemas.microsoft.com/office/drawing/2014/main" id="{00000000-0008-0000-3200-00009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4" name="Option Button 2963">
          <a:extLst>
            <a:ext uri="{FF2B5EF4-FFF2-40B4-BE49-F238E27FC236}">
              <a16:creationId xmlns:a16="http://schemas.microsoft.com/office/drawing/2014/main" id="{00000000-0008-0000-3200-00009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5" name="Option Button 2964">
          <a:extLst>
            <a:ext uri="{FF2B5EF4-FFF2-40B4-BE49-F238E27FC236}">
              <a16:creationId xmlns:a16="http://schemas.microsoft.com/office/drawing/2014/main" id="{00000000-0008-0000-3200-00009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6" name="Group Box 2965" descr="Group Box 5">
          <a:extLst>
            <a:ext uri="{FF2B5EF4-FFF2-40B4-BE49-F238E27FC236}">
              <a16:creationId xmlns:a16="http://schemas.microsoft.com/office/drawing/2014/main" id="{00000000-0008-0000-3200-000096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xdr:row>
      <xdr:rowOff>28440</xdr:rowOff>
    </xdr:from>
    <xdr:to>
      <xdr:col>7</xdr:col>
      <xdr:colOff>-363960</xdr:colOff>
      <xdr:row>15</xdr:row>
      <xdr:rowOff>0</xdr:rowOff>
    </xdr:to>
    <xdr:sp macro="" textlink="">
      <xdr:nvSpPr>
        <xdr:cNvPr id="2967" name="Option Button 2966">
          <a:extLst>
            <a:ext uri="{FF2B5EF4-FFF2-40B4-BE49-F238E27FC236}">
              <a16:creationId xmlns:a16="http://schemas.microsoft.com/office/drawing/2014/main" id="{00000000-0008-0000-3200-00009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8" name="Option Button 2967">
          <a:extLst>
            <a:ext uri="{FF2B5EF4-FFF2-40B4-BE49-F238E27FC236}">
              <a16:creationId xmlns:a16="http://schemas.microsoft.com/office/drawing/2014/main" id="{00000000-0008-0000-3200-00009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9" name="Option Button 2968">
          <a:extLst>
            <a:ext uri="{FF2B5EF4-FFF2-40B4-BE49-F238E27FC236}">
              <a16:creationId xmlns:a16="http://schemas.microsoft.com/office/drawing/2014/main" id="{00000000-0008-0000-3200-00009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0" name="Option Button 2969">
          <a:extLst>
            <a:ext uri="{FF2B5EF4-FFF2-40B4-BE49-F238E27FC236}">
              <a16:creationId xmlns:a16="http://schemas.microsoft.com/office/drawing/2014/main" id="{00000000-0008-0000-3200-00009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1" name="Group Box 2970" descr="Group Box 5">
          <a:extLst>
            <a:ext uri="{FF2B5EF4-FFF2-40B4-BE49-F238E27FC236}">
              <a16:creationId xmlns:a16="http://schemas.microsoft.com/office/drawing/2014/main" id="{00000000-0008-0000-3200-00009B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xdr:row>
      <xdr:rowOff>28440</xdr:rowOff>
    </xdr:from>
    <xdr:to>
      <xdr:col>7</xdr:col>
      <xdr:colOff>-363960</xdr:colOff>
      <xdr:row>16</xdr:row>
      <xdr:rowOff>0</xdr:rowOff>
    </xdr:to>
    <xdr:sp macro="" textlink="">
      <xdr:nvSpPr>
        <xdr:cNvPr id="2972" name="Option Button 2971">
          <a:extLst>
            <a:ext uri="{FF2B5EF4-FFF2-40B4-BE49-F238E27FC236}">
              <a16:creationId xmlns:a16="http://schemas.microsoft.com/office/drawing/2014/main" id="{00000000-0008-0000-3200-00009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3" name="Option Button 2972">
          <a:extLst>
            <a:ext uri="{FF2B5EF4-FFF2-40B4-BE49-F238E27FC236}">
              <a16:creationId xmlns:a16="http://schemas.microsoft.com/office/drawing/2014/main" id="{00000000-0008-0000-3200-00009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4" name="Option Button 2973">
          <a:extLst>
            <a:ext uri="{FF2B5EF4-FFF2-40B4-BE49-F238E27FC236}">
              <a16:creationId xmlns:a16="http://schemas.microsoft.com/office/drawing/2014/main" id="{00000000-0008-0000-3200-00009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5" name="Option Button 2974">
          <a:extLst>
            <a:ext uri="{FF2B5EF4-FFF2-40B4-BE49-F238E27FC236}">
              <a16:creationId xmlns:a16="http://schemas.microsoft.com/office/drawing/2014/main" id="{00000000-0008-0000-3200-00009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6" name="Group Box 2975" descr="Group Box 5">
          <a:extLst>
            <a:ext uri="{FF2B5EF4-FFF2-40B4-BE49-F238E27FC236}">
              <a16:creationId xmlns:a16="http://schemas.microsoft.com/office/drawing/2014/main" id="{00000000-0008-0000-3200-0000A0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xdr:row>
      <xdr:rowOff>28440</xdr:rowOff>
    </xdr:from>
    <xdr:to>
      <xdr:col>7</xdr:col>
      <xdr:colOff>-363960</xdr:colOff>
      <xdr:row>17</xdr:row>
      <xdr:rowOff>0</xdr:rowOff>
    </xdr:to>
    <xdr:sp macro="" textlink="">
      <xdr:nvSpPr>
        <xdr:cNvPr id="2977" name="Option Button 2976">
          <a:extLst>
            <a:ext uri="{FF2B5EF4-FFF2-40B4-BE49-F238E27FC236}">
              <a16:creationId xmlns:a16="http://schemas.microsoft.com/office/drawing/2014/main" id="{00000000-0008-0000-3200-0000A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8" name="Option Button 2977">
          <a:extLst>
            <a:ext uri="{FF2B5EF4-FFF2-40B4-BE49-F238E27FC236}">
              <a16:creationId xmlns:a16="http://schemas.microsoft.com/office/drawing/2014/main" id="{00000000-0008-0000-3200-0000A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9" name="Option Button 2978">
          <a:extLst>
            <a:ext uri="{FF2B5EF4-FFF2-40B4-BE49-F238E27FC236}">
              <a16:creationId xmlns:a16="http://schemas.microsoft.com/office/drawing/2014/main" id="{00000000-0008-0000-3200-0000A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0" name="Option Button 2979">
          <a:extLst>
            <a:ext uri="{FF2B5EF4-FFF2-40B4-BE49-F238E27FC236}">
              <a16:creationId xmlns:a16="http://schemas.microsoft.com/office/drawing/2014/main" id="{00000000-0008-0000-3200-0000A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1" name="Group Box 2980" descr="Group Box 5">
          <a:extLst>
            <a:ext uri="{FF2B5EF4-FFF2-40B4-BE49-F238E27FC236}">
              <a16:creationId xmlns:a16="http://schemas.microsoft.com/office/drawing/2014/main" id="{00000000-0008-0000-3200-0000A5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xdr:row>
      <xdr:rowOff>28440</xdr:rowOff>
    </xdr:from>
    <xdr:to>
      <xdr:col>7</xdr:col>
      <xdr:colOff>-363960</xdr:colOff>
      <xdr:row>18</xdr:row>
      <xdr:rowOff>0</xdr:rowOff>
    </xdr:to>
    <xdr:sp macro="" textlink="">
      <xdr:nvSpPr>
        <xdr:cNvPr id="2982" name="Option Button 2981">
          <a:extLst>
            <a:ext uri="{FF2B5EF4-FFF2-40B4-BE49-F238E27FC236}">
              <a16:creationId xmlns:a16="http://schemas.microsoft.com/office/drawing/2014/main" id="{00000000-0008-0000-3200-0000A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3" name="Option Button 2982">
          <a:extLst>
            <a:ext uri="{FF2B5EF4-FFF2-40B4-BE49-F238E27FC236}">
              <a16:creationId xmlns:a16="http://schemas.microsoft.com/office/drawing/2014/main" id="{00000000-0008-0000-3200-0000A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4" name="Option Button 2983">
          <a:extLst>
            <a:ext uri="{FF2B5EF4-FFF2-40B4-BE49-F238E27FC236}">
              <a16:creationId xmlns:a16="http://schemas.microsoft.com/office/drawing/2014/main" id="{00000000-0008-0000-3200-0000A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5" name="Option Button 2984">
          <a:extLst>
            <a:ext uri="{FF2B5EF4-FFF2-40B4-BE49-F238E27FC236}">
              <a16:creationId xmlns:a16="http://schemas.microsoft.com/office/drawing/2014/main" id="{00000000-0008-0000-3200-0000A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6" name="Group Box 2985" descr="Group Box 5">
          <a:extLst>
            <a:ext uri="{FF2B5EF4-FFF2-40B4-BE49-F238E27FC236}">
              <a16:creationId xmlns:a16="http://schemas.microsoft.com/office/drawing/2014/main" id="{00000000-0008-0000-3200-0000AA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xdr:row>
      <xdr:rowOff>28440</xdr:rowOff>
    </xdr:from>
    <xdr:to>
      <xdr:col>7</xdr:col>
      <xdr:colOff>-363960</xdr:colOff>
      <xdr:row>19</xdr:row>
      <xdr:rowOff>0</xdr:rowOff>
    </xdr:to>
    <xdr:sp macro="" textlink="">
      <xdr:nvSpPr>
        <xdr:cNvPr id="2987" name="Option Button 2986">
          <a:extLst>
            <a:ext uri="{FF2B5EF4-FFF2-40B4-BE49-F238E27FC236}">
              <a16:creationId xmlns:a16="http://schemas.microsoft.com/office/drawing/2014/main" id="{00000000-0008-0000-3200-0000A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8" name="Option Button 2987">
          <a:extLst>
            <a:ext uri="{FF2B5EF4-FFF2-40B4-BE49-F238E27FC236}">
              <a16:creationId xmlns:a16="http://schemas.microsoft.com/office/drawing/2014/main" id="{00000000-0008-0000-3200-0000A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9" name="Option Button 2988">
          <a:extLst>
            <a:ext uri="{FF2B5EF4-FFF2-40B4-BE49-F238E27FC236}">
              <a16:creationId xmlns:a16="http://schemas.microsoft.com/office/drawing/2014/main" id="{00000000-0008-0000-3200-0000A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0" name="Option Button 2989">
          <a:extLst>
            <a:ext uri="{FF2B5EF4-FFF2-40B4-BE49-F238E27FC236}">
              <a16:creationId xmlns:a16="http://schemas.microsoft.com/office/drawing/2014/main" id="{00000000-0008-0000-3200-0000A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1" name="Group Box 2990" descr="Group Box 5">
          <a:extLst>
            <a:ext uri="{FF2B5EF4-FFF2-40B4-BE49-F238E27FC236}">
              <a16:creationId xmlns:a16="http://schemas.microsoft.com/office/drawing/2014/main" id="{00000000-0008-0000-3200-0000AF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xdr:row>
      <xdr:rowOff>28440</xdr:rowOff>
    </xdr:from>
    <xdr:to>
      <xdr:col>7</xdr:col>
      <xdr:colOff>-363960</xdr:colOff>
      <xdr:row>20</xdr:row>
      <xdr:rowOff>0</xdr:rowOff>
    </xdr:to>
    <xdr:sp macro="" textlink="">
      <xdr:nvSpPr>
        <xdr:cNvPr id="2992" name="Option Button 2991">
          <a:extLst>
            <a:ext uri="{FF2B5EF4-FFF2-40B4-BE49-F238E27FC236}">
              <a16:creationId xmlns:a16="http://schemas.microsoft.com/office/drawing/2014/main" id="{00000000-0008-0000-3200-0000B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3" name="Option Button 2992">
          <a:extLst>
            <a:ext uri="{FF2B5EF4-FFF2-40B4-BE49-F238E27FC236}">
              <a16:creationId xmlns:a16="http://schemas.microsoft.com/office/drawing/2014/main" id="{00000000-0008-0000-3200-0000B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4" name="Option Button 2993">
          <a:extLst>
            <a:ext uri="{FF2B5EF4-FFF2-40B4-BE49-F238E27FC236}">
              <a16:creationId xmlns:a16="http://schemas.microsoft.com/office/drawing/2014/main" id="{00000000-0008-0000-3200-0000B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5" name="Option Button 2994">
          <a:extLst>
            <a:ext uri="{FF2B5EF4-FFF2-40B4-BE49-F238E27FC236}">
              <a16:creationId xmlns:a16="http://schemas.microsoft.com/office/drawing/2014/main" id="{00000000-0008-0000-3200-0000B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6" name="Group Box 2995" descr="Group Box 5">
          <a:extLst>
            <a:ext uri="{FF2B5EF4-FFF2-40B4-BE49-F238E27FC236}">
              <a16:creationId xmlns:a16="http://schemas.microsoft.com/office/drawing/2014/main" id="{00000000-0008-0000-3200-0000B4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600</xdr:row>
      <xdr:rowOff>28440</xdr:rowOff>
    </xdr:from>
    <xdr:to>
      <xdr:col>7</xdr:col>
      <xdr:colOff>-363960</xdr:colOff>
      <xdr:row>601</xdr:row>
      <xdr:rowOff>0</xdr:rowOff>
    </xdr:to>
    <xdr:sp macro="" textlink="">
      <xdr:nvSpPr>
        <xdr:cNvPr id="2997" name="Option Button 2996">
          <a:extLst>
            <a:ext uri="{FF2B5EF4-FFF2-40B4-BE49-F238E27FC236}">
              <a16:creationId xmlns:a16="http://schemas.microsoft.com/office/drawing/2014/main" id="{00000000-0008-0000-3200-0000B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8" name="Option Button 2997">
          <a:extLst>
            <a:ext uri="{FF2B5EF4-FFF2-40B4-BE49-F238E27FC236}">
              <a16:creationId xmlns:a16="http://schemas.microsoft.com/office/drawing/2014/main" id="{00000000-0008-0000-3200-0000B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9" name="Option Button 2998">
          <a:extLst>
            <a:ext uri="{FF2B5EF4-FFF2-40B4-BE49-F238E27FC236}">
              <a16:creationId xmlns:a16="http://schemas.microsoft.com/office/drawing/2014/main" id="{00000000-0008-0000-3200-0000B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0" name="Option Button 2999">
          <a:extLst>
            <a:ext uri="{FF2B5EF4-FFF2-40B4-BE49-F238E27FC236}">
              <a16:creationId xmlns:a16="http://schemas.microsoft.com/office/drawing/2014/main" id="{00000000-0008-0000-3200-0000B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1" name="Group Box 3000" descr="Group Box 5">
          <a:extLst>
            <a:ext uri="{FF2B5EF4-FFF2-40B4-BE49-F238E27FC236}">
              <a16:creationId xmlns:a16="http://schemas.microsoft.com/office/drawing/2014/main" id="{00000000-0008-0000-3200-0000B9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601</xdr:row>
      <xdr:rowOff>28440</xdr:rowOff>
    </xdr:from>
    <xdr:to>
      <xdr:col>7</xdr:col>
      <xdr:colOff>-363960</xdr:colOff>
      <xdr:row>602</xdr:row>
      <xdr:rowOff>0</xdr:rowOff>
    </xdr:to>
    <xdr:sp macro="" textlink="">
      <xdr:nvSpPr>
        <xdr:cNvPr id="3002" name="Option Button 3001">
          <a:extLst>
            <a:ext uri="{FF2B5EF4-FFF2-40B4-BE49-F238E27FC236}">
              <a16:creationId xmlns:a16="http://schemas.microsoft.com/office/drawing/2014/main" id="{00000000-0008-0000-3200-0000B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3" name="Option Button 3002">
          <a:extLst>
            <a:ext uri="{FF2B5EF4-FFF2-40B4-BE49-F238E27FC236}">
              <a16:creationId xmlns:a16="http://schemas.microsoft.com/office/drawing/2014/main" id="{00000000-0008-0000-3200-0000B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4" name="Option Button 3003">
          <a:extLst>
            <a:ext uri="{FF2B5EF4-FFF2-40B4-BE49-F238E27FC236}">
              <a16:creationId xmlns:a16="http://schemas.microsoft.com/office/drawing/2014/main" id="{00000000-0008-0000-3200-0000B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5" name="Option Button 3004">
          <a:extLst>
            <a:ext uri="{FF2B5EF4-FFF2-40B4-BE49-F238E27FC236}">
              <a16:creationId xmlns:a16="http://schemas.microsoft.com/office/drawing/2014/main" id="{00000000-0008-0000-3200-0000B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6" name="Group Box 3005" descr="Group Box 5">
          <a:extLst>
            <a:ext uri="{FF2B5EF4-FFF2-40B4-BE49-F238E27FC236}">
              <a16:creationId xmlns:a16="http://schemas.microsoft.com/office/drawing/2014/main" id="{00000000-0008-0000-3200-0000BE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602</xdr:row>
      <xdr:rowOff>28440</xdr:rowOff>
    </xdr:from>
    <xdr:to>
      <xdr:col>7</xdr:col>
      <xdr:colOff>-363960</xdr:colOff>
      <xdr:row>603</xdr:row>
      <xdr:rowOff>0</xdr:rowOff>
    </xdr:to>
    <xdr:sp macro="" textlink="">
      <xdr:nvSpPr>
        <xdr:cNvPr id="3007" name="Option Button 3006">
          <a:extLst>
            <a:ext uri="{FF2B5EF4-FFF2-40B4-BE49-F238E27FC236}">
              <a16:creationId xmlns:a16="http://schemas.microsoft.com/office/drawing/2014/main" id="{00000000-0008-0000-3200-0000B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8" name="Option Button 3007">
          <a:extLst>
            <a:ext uri="{FF2B5EF4-FFF2-40B4-BE49-F238E27FC236}">
              <a16:creationId xmlns:a16="http://schemas.microsoft.com/office/drawing/2014/main" id="{00000000-0008-0000-3200-0000C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9" name="Option Button 3008">
          <a:extLst>
            <a:ext uri="{FF2B5EF4-FFF2-40B4-BE49-F238E27FC236}">
              <a16:creationId xmlns:a16="http://schemas.microsoft.com/office/drawing/2014/main" id="{00000000-0008-0000-3200-0000C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0" name="Option Button 3009">
          <a:extLst>
            <a:ext uri="{FF2B5EF4-FFF2-40B4-BE49-F238E27FC236}">
              <a16:creationId xmlns:a16="http://schemas.microsoft.com/office/drawing/2014/main" id="{00000000-0008-0000-3200-0000C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1" name="Group Box 3010" descr="Group Box 5">
          <a:extLst>
            <a:ext uri="{FF2B5EF4-FFF2-40B4-BE49-F238E27FC236}">
              <a16:creationId xmlns:a16="http://schemas.microsoft.com/office/drawing/2014/main" id="{00000000-0008-0000-3200-0000C3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603</xdr:row>
      <xdr:rowOff>28440</xdr:rowOff>
    </xdr:from>
    <xdr:to>
      <xdr:col>7</xdr:col>
      <xdr:colOff>-363960</xdr:colOff>
      <xdr:row>604</xdr:row>
      <xdr:rowOff>0</xdr:rowOff>
    </xdr:to>
    <xdr:sp macro="" textlink="">
      <xdr:nvSpPr>
        <xdr:cNvPr id="3012" name="Option Button 3011">
          <a:extLst>
            <a:ext uri="{FF2B5EF4-FFF2-40B4-BE49-F238E27FC236}">
              <a16:creationId xmlns:a16="http://schemas.microsoft.com/office/drawing/2014/main" id="{00000000-0008-0000-3200-0000C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3" name="Option Button 3012">
          <a:extLst>
            <a:ext uri="{FF2B5EF4-FFF2-40B4-BE49-F238E27FC236}">
              <a16:creationId xmlns:a16="http://schemas.microsoft.com/office/drawing/2014/main" id="{00000000-0008-0000-3200-0000C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4" name="Option Button 3013">
          <a:extLst>
            <a:ext uri="{FF2B5EF4-FFF2-40B4-BE49-F238E27FC236}">
              <a16:creationId xmlns:a16="http://schemas.microsoft.com/office/drawing/2014/main" id="{00000000-0008-0000-3200-0000C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5" name="Option Button 3014">
          <a:extLst>
            <a:ext uri="{FF2B5EF4-FFF2-40B4-BE49-F238E27FC236}">
              <a16:creationId xmlns:a16="http://schemas.microsoft.com/office/drawing/2014/main" id="{00000000-0008-0000-3200-0000C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6" name="Group Box 3015" descr="Group Box 5">
          <a:extLst>
            <a:ext uri="{FF2B5EF4-FFF2-40B4-BE49-F238E27FC236}">
              <a16:creationId xmlns:a16="http://schemas.microsoft.com/office/drawing/2014/main" id="{00000000-0008-0000-3200-0000C8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604</xdr:row>
      <xdr:rowOff>28440</xdr:rowOff>
    </xdr:from>
    <xdr:to>
      <xdr:col>7</xdr:col>
      <xdr:colOff>-363960</xdr:colOff>
      <xdr:row>605</xdr:row>
      <xdr:rowOff>0</xdr:rowOff>
    </xdr:to>
    <xdr:sp macro="" textlink="">
      <xdr:nvSpPr>
        <xdr:cNvPr id="3017" name="Option Button 3016">
          <a:extLst>
            <a:ext uri="{FF2B5EF4-FFF2-40B4-BE49-F238E27FC236}">
              <a16:creationId xmlns:a16="http://schemas.microsoft.com/office/drawing/2014/main" id="{00000000-0008-0000-3200-0000C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8" name="Option Button 3017">
          <a:extLst>
            <a:ext uri="{FF2B5EF4-FFF2-40B4-BE49-F238E27FC236}">
              <a16:creationId xmlns:a16="http://schemas.microsoft.com/office/drawing/2014/main" id="{00000000-0008-0000-3200-0000C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9" name="Option Button 3018">
          <a:extLst>
            <a:ext uri="{FF2B5EF4-FFF2-40B4-BE49-F238E27FC236}">
              <a16:creationId xmlns:a16="http://schemas.microsoft.com/office/drawing/2014/main" id="{00000000-0008-0000-3200-0000C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0" name="Option Button 3019">
          <a:extLst>
            <a:ext uri="{FF2B5EF4-FFF2-40B4-BE49-F238E27FC236}">
              <a16:creationId xmlns:a16="http://schemas.microsoft.com/office/drawing/2014/main" id="{00000000-0008-0000-3200-0000C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1" name="Group Box 3020" descr="Group Box 5">
          <a:extLst>
            <a:ext uri="{FF2B5EF4-FFF2-40B4-BE49-F238E27FC236}">
              <a16:creationId xmlns:a16="http://schemas.microsoft.com/office/drawing/2014/main" id="{00000000-0008-0000-3200-0000CD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605</xdr:row>
      <xdr:rowOff>28440</xdr:rowOff>
    </xdr:from>
    <xdr:to>
      <xdr:col>7</xdr:col>
      <xdr:colOff>-363960</xdr:colOff>
      <xdr:row>606</xdr:row>
      <xdr:rowOff>0</xdr:rowOff>
    </xdr:to>
    <xdr:sp macro="" textlink="">
      <xdr:nvSpPr>
        <xdr:cNvPr id="3022" name="Option Button 3021">
          <a:extLst>
            <a:ext uri="{FF2B5EF4-FFF2-40B4-BE49-F238E27FC236}">
              <a16:creationId xmlns:a16="http://schemas.microsoft.com/office/drawing/2014/main" id="{00000000-0008-0000-3200-0000C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3" name="Option Button 3022">
          <a:extLst>
            <a:ext uri="{FF2B5EF4-FFF2-40B4-BE49-F238E27FC236}">
              <a16:creationId xmlns:a16="http://schemas.microsoft.com/office/drawing/2014/main" id="{00000000-0008-0000-3200-0000C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4" name="Option Button 3023">
          <a:extLst>
            <a:ext uri="{FF2B5EF4-FFF2-40B4-BE49-F238E27FC236}">
              <a16:creationId xmlns:a16="http://schemas.microsoft.com/office/drawing/2014/main" id="{00000000-0008-0000-3200-0000D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5" name="Option Button 3024">
          <a:extLst>
            <a:ext uri="{FF2B5EF4-FFF2-40B4-BE49-F238E27FC236}">
              <a16:creationId xmlns:a16="http://schemas.microsoft.com/office/drawing/2014/main" id="{00000000-0008-0000-3200-0000D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6" name="Group Box 3025" descr="Group Box 5">
          <a:extLst>
            <a:ext uri="{FF2B5EF4-FFF2-40B4-BE49-F238E27FC236}">
              <a16:creationId xmlns:a16="http://schemas.microsoft.com/office/drawing/2014/main" id="{00000000-0008-0000-3200-0000D2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606</xdr:row>
      <xdr:rowOff>28440</xdr:rowOff>
    </xdr:from>
    <xdr:to>
      <xdr:col>7</xdr:col>
      <xdr:colOff>-363960</xdr:colOff>
      <xdr:row>607</xdr:row>
      <xdr:rowOff>0</xdr:rowOff>
    </xdr:to>
    <xdr:sp macro="" textlink="">
      <xdr:nvSpPr>
        <xdr:cNvPr id="3027" name="Option Button 3026">
          <a:extLst>
            <a:ext uri="{FF2B5EF4-FFF2-40B4-BE49-F238E27FC236}">
              <a16:creationId xmlns:a16="http://schemas.microsoft.com/office/drawing/2014/main" id="{00000000-0008-0000-3200-0000D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8" name="Option Button 3027">
          <a:extLst>
            <a:ext uri="{FF2B5EF4-FFF2-40B4-BE49-F238E27FC236}">
              <a16:creationId xmlns:a16="http://schemas.microsoft.com/office/drawing/2014/main" id="{00000000-0008-0000-3200-0000D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9" name="Option Button 3028">
          <a:extLst>
            <a:ext uri="{FF2B5EF4-FFF2-40B4-BE49-F238E27FC236}">
              <a16:creationId xmlns:a16="http://schemas.microsoft.com/office/drawing/2014/main" id="{00000000-0008-0000-3200-0000D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0" name="Option Button 3029">
          <a:extLst>
            <a:ext uri="{FF2B5EF4-FFF2-40B4-BE49-F238E27FC236}">
              <a16:creationId xmlns:a16="http://schemas.microsoft.com/office/drawing/2014/main" id="{00000000-0008-0000-3200-0000D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1" name="Group Box 3030" descr="Group Box 5">
          <a:extLst>
            <a:ext uri="{FF2B5EF4-FFF2-40B4-BE49-F238E27FC236}">
              <a16:creationId xmlns:a16="http://schemas.microsoft.com/office/drawing/2014/main" id="{00000000-0008-0000-3200-0000D7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607</xdr:row>
      <xdr:rowOff>28440</xdr:rowOff>
    </xdr:from>
    <xdr:to>
      <xdr:col>7</xdr:col>
      <xdr:colOff>-363960</xdr:colOff>
      <xdr:row>608</xdr:row>
      <xdr:rowOff>0</xdr:rowOff>
    </xdr:to>
    <xdr:sp macro="" textlink="">
      <xdr:nvSpPr>
        <xdr:cNvPr id="3032" name="Option Button 3031">
          <a:extLst>
            <a:ext uri="{FF2B5EF4-FFF2-40B4-BE49-F238E27FC236}">
              <a16:creationId xmlns:a16="http://schemas.microsoft.com/office/drawing/2014/main" id="{00000000-0008-0000-3200-0000D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3" name="Option Button 3032">
          <a:extLst>
            <a:ext uri="{FF2B5EF4-FFF2-40B4-BE49-F238E27FC236}">
              <a16:creationId xmlns:a16="http://schemas.microsoft.com/office/drawing/2014/main" id="{00000000-0008-0000-3200-0000D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4" name="Option Button 3033">
          <a:extLst>
            <a:ext uri="{FF2B5EF4-FFF2-40B4-BE49-F238E27FC236}">
              <a16:creationId xmlns:a16="http://schemas.microsoft.com/office/drawing/2014/main" id="{00000000-0008-0000-3200-0000D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5" name="Option Button 3034">
          <a:extLst>
            <a:ext uri="{FF2B5EF4-FFF2-40B4-BE49-F238E27FC236}">
              <a16:creationId xmlns:a16="http://schemas.microsoft.com/office/drawing/2014/main" id="{00000000-0008-0000-3200-0000D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6" name="Group Box 3035" descr="Group Box 5">
          <a:extLst>
            <a:ext uri="{FF2B5EF4-FFF2-40B4-BE49-F238E27FC236}">
              <a16:creationId xmlns:a16="http://schemas.microsoft.com/office/drawing/2014/main" id="{00000000-0008-0000-3200-0000DC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608</xdr:row>
      <xdr:rowOff>28440</xdr:rowOff>
    </xdr:from>
    <xdr:to>
      <xdr:col>7</xdr:col>
      <xdr:colOff>-363960</xdr:colOff>
      <xdr:row>609</xdr:row>
      <xdr:rowOff>0</xdr:rowOff>
    </xdr:to>
    <xdr:sp macro="" textlink="">
      <xdr:nvSpPr>
        <xdr:cNvPr id="3037" name="Option Button 3036">
          <a:extLst>
            <a:ext uri="{FF2B5EF4-FFF2-40B4-BE49-F238E27FC236}">
              <a16:creationId xmlns:a16="http://schemas.microsoft.com/office/drawing/2014/main" id="{00000000-0008-0000-3200-0000D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8" name="Option Button 3037">
          <a:extLst>
            <a:ext uri="{FF2B5EF4-FFF2-40B4-BE49-F238E27FC236}">
              <a16:creationId xmlns:a16="http://schemas.microsoft.com/office/drawing/2014/main" id="{00000000-0008-0000-3200-0000D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9" name="Option Button 3038">
          <a:extLst>
            <a:ext uri="{FF2B5EF4-FFF2-40B4-BE49-F238E27FC236}">
              <a16:creationId xmlns:a16="http://schemas.microsoft.com/office/drawing/2014/main" id="{00000000-0008-0000-3200-0000D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0" name="Option Button 3039">
          <a:extLst>
            <a:ext uri="{FF2B5EF4-FFF2-40B4-BE49-F238E27FC236}">
              <a16:creationId xmlns:a16="http://schemas.microsoft.com/office/drawing/2014/main" id="{00000000-0008-0000-3200-0000E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1" name="Group Box 3040" descr="Group Box 5">
          <a:extLst>
            <a:ext uri="{FF2B5EF4-FFF2-40B4-BE49-F238E27FC236}">
              <a16:creationId xmlns:a16="http://schemas.microsoft.com/office/drawing/2014/main" id="{00000000-0008-0000-3200-0000E1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609</xdr:row>
      <xdr:rowOff>28440</xdr:rowOff>
    </xdr:from>
    <xdr:to>
      <xdr:col>7</xdr:col>
      <xdr:colOff>-363960</xdr:colOff>
      <xdr:row>610</xdr:row>
      <xdr:rowOff>0</xdr:rowOff>
    </xdr:to>
    <xdr:sp macro="" textlink="">
      <xdr:nvSpPr>
        <xdr:cNvPr id="3042" name="Option Button 3041">
          <a:extLst>
            <a:ext uri="{FF2B5EF4-FFF2-40B4-BE49-F238E27FC236}">
              <a16:creationId xmlns:a16="http://schemas.microsoft.com/office/drawing/2014/main" id="{00000000-0008-0000-3200-0000E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3" name="Option Button 3042">
          <a:extLst>
            <a:ext uri="{FF2B5EF4-FFF2-40B4-BE49-F238E27FC236}">
              <a16:creationId xmlns:a16="http://schemas.microsoft.com/office/drawing/2014/main" id="{00000000-0008-0000-3200-0000E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4" name="Option Button 3043">
          <a:extLst>
            <a:ext uri="{FF2B5EF4-FFF2-40B4-BE49-F238E27FC236}">
              <a16:creationId xmlns:a16="http://schemas.microsoft.com/office/drawing/2014/main" id="{00000000-0008-0000-3200-0000E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5" name="Option Button 3044">
          <a:extLst>
            <a:ext uri="{FF2B5EF4-FFF2-40B4-BE49-F238E27FC236}">
              <a16:creationId xmlns:a16="http://schemas.microsoft.com/office/drawing/2014/main" id="{00000000-0008-0000-3200-0000E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6" name="Group Box 3045" descr="Group Box 5">
          <a:extLst>
            <a:ext uri="{FF2B5EF4-FFF2-40B4-BE49-F238E27FC236}">
              <a16:creationId xmlns:a16="http://schemas.microsoft.com/office/drawing/2014/main" id="{00000000-0008-0000-3200-0000E6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610</xdr:row>
      <xdr:rowOff>28440</xdr:rowOff>
    </xdr:from>
    <xdr:to>
      <xdr:col>7</xdr:col>
      <xdr:colOff>-363960</xdr:colOff>
      <xdr:row>611</xdr:row>
      <xdr:rowOff>0</xdr:rowOff>
    </xdr:to>
    <xdr:sp macro="" textlink="">
      <xdr:nvSpPr>
        <xdr:cNvPr id="3047" name="Option Button 3046">
          <a:extLst>
            <a:ext uri="{FF2B5EF4-FFF2-40B4-BE49-F238E27FC236}">
              <a16:creationId xmlns:a16="http://schemas.microsoft.com/office/drawing/2014/main" id="{00000000-0008-0000-3200-0000E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8" name="Option Button 3047">
          <a:extLst>
            <a:ext uri="{FF2B5EF4-FFF2-40B4-BE49-F238E27FC236}">
              <a16:creationId xmlns:a16="http://schemas.microsoft.com/office/drawing/2014/main" id="{00000000-0008-0000-3200-0000E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9" name="Option Button 3048">
          <a:extLst>
            <a:ext uri="{FF2B5EF4-FFF2-40B4-BE49-F238E27FC236}">
              <a16:creationId xmlns:a16="http://schemas.microsoft.com/office/drawing/2014/main" id="{00000000-0008-0000-3200-0000E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0" name="Option Button 3049">
          <a:extLst>
            <a:ext uri="{FF2B5EF4-FFF2-40B4-BE49-F238E27FC236}">
              <a16:creationId xmlns:a16="http://schemas.microsoft.com/office/drawing/2014/main" id="{00000000-0008-0000-3200-0000E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1" name="Group Box 3050" descr="Group Box 5">
          <a:extLst>
            <a:ext uri="{FF2B5EF4-FFF2-40B4-BE49-F238E27FC236}">
              <a16:creationId xmlns:a16="http://schemas.microsoft.com/office/drawing/2014/main" id="{00000000-0008-0000-3200-0000EB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611</xdr:row>
      <xdr:rowOff>28440</xdr:rowOff>
    </xdr:from>
    <xdr:to>
      <xdr:col>7</xdr:col>
      <xdr:colOff>-363960</xdr:colOff>
      <xdr:row>612</xdr:row>
      <xdr:rowOff>0</xdr:rowOff>
    </xdr:to>
    <xdr:sp macro="" textlink="">
      <xdr:nvSpPr>
        <xdr:cNvPr id="3052" name="Option Button 3051">
          <a:extLst>
            <a:ext uri="{FF2B5EF4-FFF2-40B4-BE49-F238E27FC236}">
              <a16:creationId xmlns:a16="http://schemas.microsoft.com/office/drawing/2014/main" id="{00000000-0008-0000-3200-0000E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3" name="Option Button 3052">
          <a:extLst>
            <a:ext uri="{FF2B5EF4-FFF2-40B4-BE49-F238E27FC236}">
              <a16:creationId xmlns:a16="http://schemas.microsoft.com/office/drawing/2014/main" id="{00000000-0008-0000-3200-0000E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4" name="Option Button 3053">
          <a:extLst>
            <a:ext uri="{FF2B5EF4-FFF2-40B4-BE49-F238E27FC236}">
              <a16:creationId xmlns:a16="http://schemas.microsoft.com/office/drawing/2014/main" id="{00000000-0008-0000-3200-0000E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5" name="Option Button 3054">
          <a:extLst>
            <a:ext uri="{FF2B5EF4-FFF2-40B4-BE49-F238E27FC236}">
              <a16:creationId xmlns:a16="http://schemas.microsoft.com/office/drawing/2014/main" id="{00000000-0008-0000-3200-0000E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6" name="Group Box 3055" descr="Group Box 5">
          <a:extLst>
            <a:ext uri="{FF2B5EF4-FFF2-40B4-BE49-F238E27FC236}">
              <a16:creationId xmlns:a16="http://schemas.microsoft.com/office/drawing/2014/main" id="{00000000-0008-0000-3200-0000F0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612</xdr:row>
      <xdr:rowOff>28440</xdr:rowOff>
    </xdr:from>
    <xdr:to>
      <xdr:col>7</xdr:col>
      <xdr:colOff>-363960</xdr:colOff>
      <xdr:row>613</xdr:row>
      <xdr:rowOff>0</xdr:rowOff>
    </xdr:to>
    <xdr:sp macro="" textlink="">
      <xdr:nvSpPr>
        <xdr:cNvPr id="3057" name="Option Button 3056">
          <a:extLst>
            <a:ext uri="{FF2B5EF4-FFF2-40B4-BE49-F238E27FC236}">
              <a16:creationId xmlns:a16="http://schemas.microsoft.com/office/drawing/2014/main" id="{00000000-0008-0000-3200-0000F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8" name="Option Button 3057">
          <a:extLst>
            <a:ext uri="{FF2B5EF4-FFF2-40B4-BE49-F238E27FC236}">
              <a16:creationId xmlns:a16="http://schemas.microsoft.com/office/drawing/2014/main" id="{00000000-0008-0000-3200-0000F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9" name="Option Button 3058">
          <a:extLst>
            <a:ext uri="{FF2B5EF4-FFF2-40B4-BE49-F238E27FC236}">
              <a16:creationId xmlns:a16="http://schemas.microsoft.com/office/drawing/2014/main" id="{00000000-0008-0000-3200-0000F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0" name="Option Button 3059">
          <a:extLst>
            <a:ext uri="{FF2B5EF4-FFF2-40B4-BE49-F238E27FC236}">
              <a16:creationId xmlns:a16="http://schemas.microsoft.com/office/drawing/2014/main" id="{00000000-0008-0000-3200-0000F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1" name="Group Box 3060" descr="Group Box 5">
          <a:extLst>
            <a:ext uri="{FF2B5EF4-FFF2-40B4-BE49-F238E27FC236}">
              <a16:creationId xmlns:a16="http://schemas.microsoft.com/office/drawing/2014/main" id="{00000000-0008-0000-3200-0000F5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613</xdr:row>
      <xdr:rowOff>28440</xdr:rowOff>
    </xdr:from>
    <xdr:to>
      <xdr:col>7</xdr:col>
      <xdr:colOff>-363960</xdr:colOff>
      <xdr:row>614</xdr:row>
      <xdr:rowOff>0</xdr:rowOff>
    </xdr:to>
    <xdr:sp macro="" textlink="">
      <xdr:nvSpPr>
        <xdr:cNvPr id="3062" name="Option Button 3061">
          <a:extLst>
            <a:ext uri="{FF2B5EF4-FFF2-40B4-BE49-F238E27FC236}">
              <a16:creationId xmlns:a16="http://schemas.microsoft.com/office/drawing/2014/main" id="{00000000-0008-0000-3200-0000F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3" name="Option Button 3062">
          <a:extLst>
            <a:ext uri="{FF2B5EF4-FFF2-40B4-BE49-F238E27FC236}">
              <a16:creationId xmlns:a16="http://schemas.microsoft.com/office/drawing/2014/main" id="{00000000-0008-0000-3200-0000F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4" name="Option Button 3063">
          <a:extLst>
            <a:ext uri="{FF2B5EF4-FFF2-40B4-BE49-F238E27FC236}">
              <a16:creationId xmlns:a16="http://schemas.microsoft.com/office/drawing/2014/main" id="{00000000-0008-0000-3200-0000F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5" name="Option Button 3064">
          <a:extLst>
            <a:ext uri="{FF2B5EF4-FFF2-40B4-BE49-F238E27FC236}">
              <a16:creationId xmlns:a16="http://schemas.microsoft.com/office/drawing/2014/main" id="{00000000-0008-0000-3200-0000F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6" name="Group Box 3065" descr="Group Box 5">
          <a:extLst>
            <a:ext uri="{FF2B5EF4-FFF2-40B4-BE49-F238E27FC236}">
              <a16:creationId xmlns:a16="http://schemas.microsoft.com/office/drawing/2014/main" id="{00000000-0008-0000-3200-0000FA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614</xdr:row>
      <xdr:rowOff>28440</xdr:rowOff>
    </xdr:from>
    <xdr:to>
      <xdr:col>7</xdr:col>
      <xdr:colOff>-363960</xdr:colOff>
      <xdr:row>615</xdr:row>
      <xdr:rowOff>0</xdr:rowOff>
    </xdr:to>
    <xdr:sp macro="" textlink="">
      <xdr:nvSpPr>
        <xdr:cNvPr id="3067" name="Option Button 3066">
          <a:extLst>
            <a:ext uri="{FF2B5EF4-FFF2-40B4-BE49-F238E27FC236}">
              <a16:creationId xmlns:a16="http://schemas.microsoft.com/office/drawing/2014/main" id="{00000000-0008-0000-3200-0000F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8" name="Option Button 3067">
          <a:extLst>
            <a:ext uri="{FF2B5EF4-FFF2-40B4-BE49-F238E27FC236}">
              <a16:creationId xmlns:a16="http://schemas.microsoft.com/office/drawing/2014/main" id="{00000000-0008-0000-3200-0000F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9" name="Option Button 3068">
          <a:extLst>
            <a:ext uri="{FF2B5EF4-FFF2-40B4-BE49-F238E27FC236}">
              <a16:creationId xmlns:a16="http://schemas.microsoft.com/office/drawing/2014/main" id="{00000000-0008-0000-3200-0000F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0" name="Option Button 3069">
          <a:extLst>
            <a:ext uri="{FF2B5EF4-FFF2-40B4-BE49-F238E27FC236}">
              <a16:creationId xmlns:a16="http://schemas.microsoft.com/office/drawing/2014/main" id="{00000000-0008-0000-3200-0000F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1" name="Group Box 3070" descr="Group Box 5">
          <a:extLst>
            <a:ext uri="{FF2B5EF4-FFF2-40B4-BE49-F238E27FC236}">
              <a16:creationId xmlns:a16="http://schemas.microsoft.com/office/drawing/2014/main" id="{00000000-0008-0000-3200-0000FF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615</xdr:row>
      <xdr:rowOff>28440</xdr:rowOff>
    </xdr:from>
    <xdr:to>
      <xdr:col>7</xdr:col>
      <xdr:colOff>-363960</xdr:colOff>
      <xdr:row>616</xdr:row>
      <xdr:rowOff>0</xdr:rowOff>
    </xdr:to>
    <xdr:sp macro="" textlink="">
      <xdr:nvSpPr>
        <xdr:cNvPr id="3072" name="Option Button 3071">
          <a:extLst>
            <a:ext uri="{FF2B5EF4-FFF2-40B4-BE49-F238E27FC236}">
              <a16:creationId xmlns:a16="http://schemas.microsoft.com/office/drawing/2014/main" id="{00000000-0008-0000-3200-00000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3" name="Option Button 3072">
          <a:extLst>
            <a:ext uri="{FF2B5EF4-FFF2-40B4-BE49-F238E27FC236}">
              <a16:creationId xmlns:a16="http://schemas.microsoft.com/office/drawing/2014/main" id="{00000000-0008-0000-3200-00000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4" name="Option Button 3073">
          <a:extLst>
            <a:ext uri="{FF2B5EF4-FFF2-40B4-BE49-F238E27FC236}">
              <a16:creationId xmlns:a16="http://schemas.microsoft.com/office/drawing/2014/main" id="{00000000-0008-0000-3200-00000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5" name="Option Button 3074">
          <a:extLst>
            <a:ext uri="{FF2B5EF4-FFF2-40B4-BE49-F238E27FC236}">
              <a16:creationId xmlns:a16="http://schemas.microsoft.com/office/drawing/2014/main" id="{00000000-0008-0000-3200-00000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6" name="Group Box 3075" descr="Group Box 5">
          <a:extLst>
            <a:ext uri="{FF2B5EF4-FFF2-40B4-BE49-F238E27FC236}">
              <a16:creationId xmlns:a16="http://schemas.microsoft.com/office/drawing/2014/main" id="{00000000-0008-0000-3200-000004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616</xdr:row>
      <xdr:rowOff>28440</xdr:rowOff>
    </xdr:from>
    <xdr:to>
      <xdr:col>7</xdr:col>
      <xdr:colOff>-363960</xdr:colOff>
      <xdr:row>617</xdr:row>
      <xdr:rowOff>0</xdr:rowOff>
    </xdr:to>
    <xdr:sp macro="" textlink="">
      <xdr:nvSpPr>
        <xdr:cNvPr id="3077" name="Option Button 3076">
          <a:extLst>
            <a:ext uri="{FF2B5EF4-FFF2-40B4-BE49-F238E27FC236}">
              <a16:creationId xmlns:a16="http://schemas.microsoft.com/office/drawing/2014/main" id="{00000000-0008-0000-3200-00000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8" name="Option Button 3077">
          <a:extLst>
            <a:ext uri="{FF2B5EF4-FFF2-40B4-BE49-F238E27FC236}">
              <a16:creationId xmlns:a16="http://schemas.microsoft.com/office/drawing/2014/main" id="{00000000-0008-0000-3200-00000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9" name="Option Button 3078">
          <a:extLst>
            <a:ext uri="{FF2B5EF4-FFF2-40B4-BE49-F238E27FC236}">
              <a16:creationId xmlns:a16="http://schemas.microsoft.com/office/drawing/2014/main" id="{00000000-0008-0000-3200-00000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0" name="Option Button 3079">
          <a:extLst>
            <a:ext uri="{FF2B5EF4-FFF2-40B4-BE49-F238E27FC236}">
              <a16:creationId xmlns:a16="http://schemas.microsoft.com/office/drawing/2014/main" id="{00000000-0008-0000-3200-00000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1" name="Group Box 3080" descr="Group Box 5">
          <a:extLst>
            <a:ext uri="{FF2B5EF4-FFF2-40B4-BE49-F238E27FC236}">
              <a16:creationId xmlns:a16="http://schemas.microsoft.com/office/drawing/2014/main" id="{00000000-0008-0000-3200-000009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617</xdr:row>
      <xdr:rowOff>28440</xdr:rowOff>
    </xdr:from>
    <xdr:to>
      <xdr:col>7</xdr:col>
      <xdr:colOff>-363960</xdr:colOff>
      <xdr:row>618</xdr:row>
      <xdr:rowOff>0</xdr:rowOff>
    </xdr:to>
    <xdr:sp macro="" textlink="">
      <xdr:nvSpPr>
        <xdr:cNvPr id="3082" name="Option Button 3081">
          <a:extLst>
            <a:ext uri="{FF2B5EF4-FFF2-40B4-BE49-F238E27FC236}">
              <a16:creationId xmlns:a16="http://schemas.microsoft.com/office/drawing/2014/main" id="{00000000-0008-0000-3200-00000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3" name="Option Button 3082">
          <a:extLst>
            <a:ext uri="{FF2B5EF4-FFF2-40B4-BE49-F238E27FC236}">
              <a16:creationId xmlns:a16="http://schemas.microsoft.com/office/drawing/2014/main" id="{00000000-0008-0000-3200-00000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4" name="Option Button 3083">
          <a:extLst>
            <a:ext uri="{FF2B5EF4-FFF2-40B4-BE49-F238E27FC236}">
              <a16:creationId xmlns:a16="http://schemas.microsoft.com/office/drawing/2014/main" id="{00000000-0008-0000-3200-00000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5" name="Option Button 3084">
          <a:extLst>
            <a:ext uri="{FF2B5EF4-FFF2-40B4-BE49-F238E27FC236}">
              <a16:creationId xmlns:a16="http://schemas.microsoft.com/office/drawing/2014/main" id="{00000000-0008-0000-3200-00000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6" name="Group Box 3085" descr="Group Box 5">
          <a:extLst>
            <a:ext uri="{FF2B5EF4-FFF2-40B4-BE49-F238E27FC236}">
              <a16:creationId xmlns:a16="http://schemas.microsoft.com/office/drawing/2014/main" id="{00000000-0008-0000-3200-00000E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618</xdr:row>
      <xdr:rowOff>28440</xdr:rowOff>
    </xdr:from>
    <xdr:to>
      <xdr:col>7</xdr:col>
      <xdr:colOff>-363960</xdr:colOff>
      <xdr:row>619</xdr:row>
      <xdr:rowOff>0</xdr:rowOff>
    </xdr:to>
    <xdr:sp macro="" textlink="">
      <xdr:nvSpPr>
        <xdr:cNvPr id="3087" name="Option Button 3086">
          <a:extLst>
            <a:ext uri="{FF2B5EF4-FFF2-40B4-BE49-F238E27FC236}">
              <a16:creationId xmlns:a16="http://schemas.microsoft.com/office/drawing/2014/main" id="{00000000-0008-0000-3200-00000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8" name="Option Button 3087">
          <a:extLst>
            <a:ext uri="{FF2B5EF4-FFF2-40B4-BE49-F238E27FC236}">
              <a16:creationId xmlns:a16="http://schemas.microsoft.com/office/drawing/2014/main" id="{00000000-0008-0000-3200-00001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9" name="Option Button 3088">
          <a:extLst>
            <a:ext uri="{FF2B5EF4-FFF2-40B4-BE49-F238E27FC236}">
              <a16:creationId xmlns:a16="http://schemas.microsoft.com/office/drawing/2014/main" id="{00000000-0008-0000-3200-00001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0" name="Option Button 3089">
          <a:extLst>
            <a:ext uri="{FF2B5EF4-FFF2-40B4-BE49-F238E27FC236}">
              <a16:creationId xmlns:a16="http://schemas.microsoft.com/office/drawing/2014/main" id="{00000000-0008-0000-3200-00001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1" name="Group Box 3090" descr="Group Box 5">
          <a:extLst>
            <a:ext uri="{FF2B5EF4-FFF2-40B4-BE49-F238E27FC236}">
              <a16:creationId xmlns:a16="http://schemas.microsoft.com/office/drawing/2014/main" id="{00000000-0008-0000-3200-000013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619</xdr:row>
      <xdr:rowOff>28440</xdr:rowOff>
    </xdr:from>
    <xdr:to>
      <xdr:col>7</xdr:col>
      <xdr:colOff>-363960</xdr:colOff>
      <xdr:row>620</xdr:row>
      <xdr:rowOff>0</xdr:rowOff>
    </xdr:to>
    <xdr:sp macro="" textlink="">
      <xdr:nvSpPr>
        <xdr:cNvPr id="3092" name="Option Button 3091">
          <a:extLst>
            <a:ext uri="{FF2B5EF4-FFF2-40B4-BE49-F238E27FC236}">
              <a16:creationId xmlns:a16="http://schemas.microsoft.com/office/drawing/2014/main" id="{00000000-0008-0000-3200-00001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3" name="Option Button 3092">
          <a:extLst>
            <a:ext uri="{FF2B5EF4-FFF2-40B4-BE49-F238E27FC236}">
              <a16:creationId xmlns:a16="http://schemas.microsoft.com/office/drawing/2014/main" id="{00000000-0008-0000-3200-00001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4" name="Option Button 3093">
          <a:extLst>
            <a:ext uri="{FF2B5EF4-FFF2-40B4-BE49-F238E27FC236}">
              <a16:creationId xmlns:a16="http://schemas.microsoft.com/office/drawing/2014/main" id="{00000000-0008-0000-3200-00001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5" name="Option Button 3094">
          <a:extLst>
            <a:ext uri="{FF2B5EF4-FFF2-40B4-BE49-F238E27FC236}">
              <a16:creationId xmlns:a16="http://schemas.microsoft.com/office/drawing/2014/main" id="{00000000-0008-0000-3200-00001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6" name="Group Box 3095" descr="Group Box 5">
          <a:extLst>
            <a:ext uri="{FF2B5EF4-FFF2-40B4-BE49-F238E27FC236}">
              <a16:creationId xmlns:a16="http://schemas.microsoft.com/office/drawing/2014/main" id="{00000000-0008-0000-3200-000018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620</xdr:row>
      <xdr:rowOff>28440</xdr:rowOff>
    </xdr:from>
    <xdr:to>
      <xdr:col>7</xdr:col>
      <xdr:colOff>-363960</xdr:colOff>
      <xdr:row>621</xdr:row>
      <xdr:rowOff>0</xdr:rowOff>
    </xdr:to>
    <xdr:sp macro="" textlink="">
      <xdr:nvSpPr>
        <xdr:cNvPr id="3097" name="Option Button 3096">
          <a:extLst>
            <a:ext uri="{FF2B5EF4-FFF2-40B4-BE49-F238E27FC236}">
              <a16:creationId xmlns:a16="http://schemas.microsoft.com/office/drawing/2014/main" id="{00000000-0008-0000-3200-00001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8" name="Option Button 3097">
          <a:extLst>
            <a:ext uri="{FF2B5EF4-FFF2-40B4-BE49-F238E27FC236}">
              <a16:creationId xmlns:a16="http://schemas.microsoft.com/office/drawing/2014/main" id="{00000000-0008-0000-3200-00001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9" name="Option Button 3098">
          <a:extLst>
            <a:ext uri="{FF2B5EF4-FFF2-40B4-BE49-F238E27FC236}">
              <a16:creationId xmlns:a16="http://schemas.microsoft.com/office/drawing/2014/main" id="{00000000-0008-0000-3200-00001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0" name="Option Button 3099">
          <a:extLst>
            <a:ext uri="{FF2B5EF4-FFF2-40B4-BE49-F238E27FC236}">
              <a16:creationId xmlns:a16="http://schemas.microsoft.com/office/drawing/2014/main" id="{00000000-0008-0000-3200-00001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1" name="Group Box 3100" descr="Group Box 5">
          <a:extLst>
            <a:ext uri="{FF2B5EF4-FFF2-40B4-BE49-F238E27FC236}">
              <a16:creationId xmlns:a16="http://schemas.microsoft.com/office/drawing/2014/main" id="{00000000-0008-0000-3200-00001D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621</xdr:row>
      <xdr:rowOff>28440</xdr:rowOff>
    </xdr:from>
    <xdr:to>
      <xdr:col>7</xdr:col>
      <xdr:colOff>-363960</xdr:colOff>
      <xdr:row>622</xdr:row>
      <xdr:rowOff>0</xdr:rowOff>
    </xdr:to>
    <xdr:sp macro="" textlink="">
      <xdr:nvSpPr>
        <xdr:cNvPr id="3102" name="Option Button 3101">
          <a:extLst>
            <a:ext uri="{FF2B5EF4-FFF2-40B4-BE49-F238E27FC236}">
              <a16:creationId xmlns:a16="http://schemas.microsoft.com/office/drawing/2014/main" id="{00000000-0008-0000-3200-00001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3" name="Option Button 3102">
          <a:extLst>
            <a:ext uri="{FF2B5EF4-FFF2-40B4-BE49-F238E27FC236}">
              <a16:creationId xmlns:a16="http://schemas.microsoft.com/office/drawing/2014/main" id="{00000000-0008-0000-3200-00001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4" name="Option Button 3103">
          <a:extLst>
            <a:ext uri="{FF2B5EF4-FFF2-40B4-BE49-F238E27FC236}">
              <a16:creationId xmlns:a16="http://schemas.microsoft.com/office/drawing/2014/main" id="{00000000-0008-0000-3200-00002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5" name="Option Button 3104">
          <a:extLst>
            <a:ext uri="{FF2B5EF4-FFF2-40B4-BE49-F238E27FC236}">
              <a16:creationId xmlns:a16="http://schemas.microsoft.com/office/drawing/2014/main" id="{00000000-0008-0000-3200-00002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6" name="Group Box 3105" descr="Group Box 5">
          <a:extLst>
            <a:ext uri="{FF2B5EF4-FFF2-40B4-BE49-F238E27FC236}">
              <a16:creationId xmlns:a16="http://schemas.microsoft.com/office/drawing/2014/main" id="{00000000-0008-0000-3200-000022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622</xdr:row>
      <xdr:rowOff>28440</xdr:rowOff>
    </xdr:from>
    <xdr:to>
      <xdr:col>7</xdr:col>
      <xdr:colOff>-363960</xdr:colOff>
      <xdr:row>623</xdr:row>
      <xdr:rowOff>0</xdr:rowOff>
    </xdr:to>
    <xdr:sp macro="" textlink="">
      <xdr:nvSpPr>
        <xdr:cNvPr id="3107" name="Option Button 3106">
          <a:extLst>
            <a:ext uri="{FF2B5EF4-FFF2-40B4-BE49-F238E27FC236}">
              <a16:creationId xmlns:a16="http://schemas.microsoft.com/office/drawing/2014/main" id="{00000000-0008-0000-3200-00002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8" name="Option Button 3107">
          <a:extLst>
            <a:ext uri="{FF2B5EF4-FFF2-40B4-BE49-F238E27FC236}">
              <a16:creationId xmlns:a16="http://schemas.microsoft.com/office/drawing/2014/main" id="{00000000-0008-0000-3200-00002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9" name="Option Button 3108">
          <a:extLst>
            <a:ext uri="{FF2B5EF4-FFF2-40B4-BE49-F238E27FC236}">
              <a16:creationId xmlns:a16="http://schemas.microsoft.com/office/drawing/2014/main" id="{00000000-0008-0000-3200-00002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0" name="Option Button 3109">
          <a:extLst>
            <a:ext uri="{FF2B5EF4-FFF2-40B4-BE49-F238E27FC236}">
              <a16:creationId xmlns:a16="http://schemas.microsoft.com/office/drawing/2014/main" id="{00000000-0008-0000-3200-00002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1" name="Group Box 3110" descr="Group Box 5">
          <a:extLst>
            <a:ext uri="{FF2B5EF4-FFF2-40B4-BE49-F238E27FC236}">
              <a16:creationId xmlns:a16="http://schemas.microsoft.com/office/drawing/2014/main" id="{00000000-0008-0000-3200-000027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623</xdr:row>
      <xdr:rowOff>28440</xdr:rowOff>
    </xdr:from>
    <xdr:to>
      <xdr:col>7</xdr:col>
      <xdr:colOff>-363960</xdr:colOff>
      <xdr:row>624</xdr:row>
      <xdr:rowOff>0</xdr:rowOff>
    </xdr:to>
    <xdr:sp macro="" textlink="">
      <xdr:nvSpPr>
        <xdr:cNvPr id="3112" name="Option Button 3111">
          <a:extLst>
            <a:ext uri="{FF2B5EF4-FFF2-40B4-BE49-F238E27FC236}">
              <a16:creationId xmlns:a16="http://schemas.microsoft.com/office/drawing/2014/main" id="{00000000-0008-0000-3200-00002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3" name="Option Button 3112">
          <a:extLst>
            <a:ext uri="{FF2B5EF4-FFF2-40B4-BE49-F238E27FC236}">
              <a16:creationId xmlns:a16="http://schemas.microsoft.com/office/drawing/2014/main" id="{00000000-0008-0000-3200-00002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4" name="Option Button 3113">
          <a:extLst>
            <a:ext uri="{FF2B5EF4-FFF2-40B4-BE49-F238E27FC236}">
              <a16:creationId xmlns:a16="http://schemas.microsoft.com/office/drawing/2014/main" id="{00000000-0008-0000-3200-00002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5" name="Option Button 3114">
          <a:extLst>
            <a:ext uri="{FF2B5EF4-FFF2-40B4-BE49-F238E27FC236}">
              <a16:creationId xmlns:a16="http://schemas.microsoft.com/office/drawing/2014/main" id="{00000000-0008-0000-3200-00002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6" name="Group Box 3115" descr="Group Box 5">
          <a:extLst>
            <a:ext uri="{FF2B5EF4-FFF2-40B4-BE49-F238E27FC236}">
              <a16:creationId xmlns:a16="http://schemas.microsoft.com/office/drawing/2014/main" id="{00000000-0008-0000-3200-00002C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624</xdr:row>
      <xdr:rowOff>28440</xdr:rowOff>
    </xdr:from>
    <xdr:to>
      <xdr:col>7</xdr:col>
      <xdr:colOff>-363960</xdr:colOff>
      <xdr:row>625</xdr:row>
      <xdr:rowOff>0</xdr:rowOff>
    </xdr:to>
    <xdr:sp macro="" textlink="">
      <xdr:nvSpPr>
        <xdr:cNvPr id="3117" name="Option Button 3116">
          <a:extLst>
            <a:ext uri="{FF2B5EF4-FFF2-40B4-BE49-F238E27FC236}">
              <a16:creationId xmlns:a16="http://schemas.microsoft.com/office/drawing/2014/main" id="{00000000-0008-0000-3200-00002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8" name="Option Button 3117">
          <a:extLst>
            <a:ext uri="{FF2B5EF4-FFF2-40B4-BE49-F238E27FC236}">
              <a16:creationId xmlns:a16="http://schemas.microsoft.com/office/drawing/2014/main" id="{00000000-0008-0000-3200-00002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9" name="Option Button 3118">
          <a:extLst>
            <a:ext uri="{FF2B5EF4-FFF2-40B4-BE49-F238E27FC236}">
              <a16:creationId xmlns:a16="http://schemas.microsoft.com/office/drawing/2014/main" id="{00000000-0008-0000-3200-00002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0" name="Option Button 3119">
          <a:extLst>
            <a:ext uri="{FF2B5EF4-FFF2-40B4-BE49-F238E27FC236}">
              <a16:creationId xmlns:a16="http://schemas.microsoft.com/office/drawing/2014/main" id="{00000000-0008-0000-3200-00003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1" name="Group Box 3120" descr="Group Box 5">
          <a:extLst>
            <a:ext uri="{FF2B5EF4-FFF2-40B4-BE49-F238E27FC236}">
              <a16:creationId xmlns:a16="http://schemas.microsoft.com/office/drawing/2014/main" id="{00000000-0008-0000-3200-000031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625</xdr:row>
      <xdr:rowOff>28440</xdr:rowOff>
    </xdr:from>
    <xdr:to>
      <xdr:col>7</xdr:col>
      <xdr:colOff>-363960</xdr:colOff>
      <xdr:row>626</xdr:row>
      <xdr:rowOff>0</xdr:rowOff>
    </xdr:to>
    <xdr:sp macro="" textlink="">
      <xdr:nvSpPr>
        <xdr:cNvPr id="3122" name="Option Button 3121">
          <a:extLst>
            <a:ext uri="{FF2B5EF4-FFF2-40B4-BE49-F238E27FC236}">
              <a16:creationId xmlns:a16="http://schemas.microsoft.com/office/drawing/2014/main" id="{00000000-0008-0000-3200-00003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3" name="Option Button 3122">
          <a:extLst>
            <a:ext uri="{FF2B5EF4-FFF2-40B4-BE49-F238E27FC236}">
              <a16:creationId xmlns:a16="http://schemas.microsoft.com/office/drawing/2014/main" id="{00000000-0008-0000-3200-00003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4" name="Option Button 3123">
          <a:extLst>
            <a:ext uri="{FF2B5EF4-FFF2-40B4-BE49-F238E27FC236}">
              <a16:creationId xmlns:a16="http://schemas.microsoft.com/office/drawing/2014/main" id="{00000000-0008-0000-3200-00003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5" name="Option Button 3124">
          <a:extLst>
            <a:ext uri="{FF2B5EF4-FFF2-40B4-BE49-F238E27FC236}">
              <a16:creationId xmlns:a16="http://schemas.microsoft.com/office/drawing/2014/main" id="{00000000-0008-0000-3200-00003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6" name="Group Box 3125" descr="Group Box 5">
          <a:extLst>
            <a:ext uri="{FF2B5EF4-FFF2-40B4-BE49-F238E27FC236}">
              <a16:creationId xmlns:a16="http://schemas.microsoft.com/office/drawing/2014/main" id="{00000000-0008-0000-3200-000036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626</xdr:row>
      <xdr:rowOff>28440</xdr:rowOff>
    </xdr:from>
    <xdr:to>
      <xdr:col>7</xdr:col>
      <xdr:colOff>-363960</xdr:colOff>
      <xdr:row>627</xdr:row>
      <xdr:rowOff>0</xdr:rowOff>
    </xdr:to>
    <xdr:sp macro="" textlink="">
      <xdr:nvSpPr>
        <xdr:cNvPr id="3127" name="Option Button 3126">
          <a:extLst>
            <a:ext uri="{FF2B5EF4-FFF2-40B4-BE49-F238E27FC236}">
              <a16:creationId xmlns:a16="http://schemas.microsoft.com/office/drawing/2014/main" id="{00000000-0008-0000-3200-00003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8" name="Option Button 3127">
          <a:extLst>
            <a:ext uri="{FF2B5EF4-FFF2-40B4-BE49-F238E27FC236}">
              <a16:creationId xmlns:a16="http://schemas.microsoft.com/office/drawing/2014/main" id="{00000000-0008-0000-3200-00003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9" name="Option Button 3128">
          <a:extLst>
            <a:ext uri="{FF2B5EF4-FFF2-40B4-BE49-F238E27FC236}">
              <a16:creationId xmlns:a16="http://schemas.microsoft.com/office/drawing/2014/main" id="{00000000-0008-0000-3200-00003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0" name="Option Button 3129">
          <a:extLst>
            <a:ext uri="{FF2B5EF4-FFF2-40B4-BE49-F238E27FC236}">
              <a16:creationId xmlns:a16="http://schemas.microsoft.com/office/drawing/2014/main" id="{00000000-0008-0000-3200-00003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1" name="Group Box 3130" descr="Group Box 5">
          <a:extLst>
            <a:ext uri="{FF2B5EF4-FFF2-40B4-BE49-F238E27FC236}">
              <a16:creationId xmlns:a16="http://schemas.microsoft.com/office/drawing/2014/main" id="{00000000-0008-0000-3200-00003B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627</xdr:row>
      <xdr:rowOff>28440</xdr:rowOff>
    </xdr:from>
    <xdr:to>
      <xdr:col>7</xdr:col>
      <xdr:colOff>-363960</xdr:colOff>
      <xdr:row>628</xdr:row>
      <xdr:rowOff>0</xdr:rowOff>
    </xdr:to>
    <xdr:sp macro="" textlink="">
      <xdr:nvSpPr>
        <xdr:cNvPr id="3132" name="Option Button 3131">
          <a:extLst>
            <a:ext uri="{FF2B5EF4-FFF2-40B4-BE49-F238E27FC236}">
              <a16:creationId xmlns:a16="http://schemas.microsoft.com/office/drawing/2014/main" id="{00000000-0008-0000-3200-00003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3" name="Option Button 3132">
          <a:extLst>
            <a:ext uri="{FF2B5EF4-FFF2-40B4-BE49-F238E27FC236}">
              <a16:creationId xmlns:a16="http://schemas.microsoft.com/office/drawing/2014/main" id="{00000000-0008-0000-3200-00003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4" name="Option Button 3133">
          <a:extLst>
            <a:ext uri="{FF2B5EF4-FFF2-40B4-BE49-F238E27FC236}">
              <a16:creationId xmlns:a16="http://schemas.microsoft.com/office/drawing/2014/main" id="{00000000-0008-0000-3200-00003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5" name="Option Button 3134">
          <a:extLst>
            <a:ext uri="{FF2B5EF4-FFF2-40B4-BE49-F238E27FC236}">
              <a16:creationId xmlns:a16="http://schemas.microsoft.com/office/drawing/2014/main" id="{00000000-0008-0000-3200-00003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6" name="Group Box 3135" descr="Group Box 5">
          <a:extLst>
            <a:ext uri="{FF2B5EF4-FFF2-40B4-BE49-F238E27FC236}">
              <a16:creationId xmlns:a16="http://schemas.microsoft.com/office/drawing/2014/main" id="{00000000-0008-0000-3200-000040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628</xdr:row>
      <xdr:rowOff>28440</xdr:rowOff>
    </xdr:from>
    <xdr:to>
      <xdr:col>7</xdr:col>
      <xdr:colOff>-363960</xdr:colOff>
      <xdr:row>629</xdr:row>
      <xdr:rowOff>0</xdr:rowOff>
    </xdr:to>
    <xdr:sp macro="" textlink="">
      <xdr:nvSpPr>
        <xdr:cNvPr id="3137" name="Option Button 3136">
          <a:extLst>
            <a:ext uri="{FF2B5EF4-FFF2-40B4-BE49-F238E27FC236}">
              <a16:creationId xmlns:a16="http://schemas.microsoft.com/office/drawing/2014/main" id="{00000000-0008-0000-3200-00004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8" name="Option Button 3137">
          <a:extLst>
            <a:ext uri="{FF2B5EF4-FFF2-40B4-BE49-F238E27FC236}">
              <a16:creationId xmlns:a16="http://schemas.microsoft.com/office/drawing/2014/main" id="{00000000-0008-0000-3200-00004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9" name="Option Button 3138">
          <a:extLst>
            <a:ext uri="{FF2B5EF4-FFF2-40B4-BE49-F238E27FC236}">
              <a16:creationId xmlns:a16="http://schemas.microsoft.com/office/drawing/2014/main" id="{00000000-0008-0000-3200-00004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0" name="Option Button 3139">
          <a:extLst>
            <a:ext uri="{FF2B5EF4-FFF2-40B4-BE49-F238E27FC236}">
              <a16:creationId xmlns:a16="http://schemas.microsoft.com/office/drawing/2014/main" id="{00000000-0008-0000-3200-00004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1" name="Group Box 3140" descr="Group Box 5">
          <a:extLst>
            <a:ext uri="{FF2B5EF4-FFF2-40B4-BE49-F238E27FC236}">
              <a16:creationId xmlns:a16="http://schemas.microsoft.com/office/drawing/2014/main" id="{00000000-0008-0000-3200-000045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629</xdr:row>
      <xdr:rowOff>28440</xdr:rowOff>
    </xdr:from>
    <xdr:to>
      <xdr:col>7</xdr:col>
      <xdr:colOff>-363960</xdr:colOff>
      <xdr:row>630</xdr:row>
      <xdr:rowOff>0</xdr:rowOff>
    </xdr:to>
    <xdr:sp macro="" textlink="">
      <xdr:nvSpPr>
        <xdr:cNvPr id="3142" name="Option Button 3141">
          <a:extLst>
            <a:ext uri="{FF2B5EF4-FFF2-40B4-BE49-F238E27FC236}">
              <a16:creationId xmlns:a16="http://schemas.microsoft.com/office/drawing/2014/main" id="{00000000-0008-0000-3200-00004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3" name="Option Button 3142">
          <a:extLst>
            <a:ext uri="{FF2B5EF4-FFF2-40B4-BE49-F238E27FC236}">
              <a16:creationId xmlns:a16="http://schemas.microsoft.com/office/drawing/2014/main" id="{00000000-0008-0000-3200-00004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4" name="Option Button 3143">
          <a:extLst>
            <a:ext uri="{FF2B5EF4-FFF2-40B4-BE49-F238E27FC236}">
              <a16:creationId xmlns:a16="http://schemas.microsoft.com/office/drawing/2014/main" id="{00000000-0008-0000-3200-00004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5" name="Option Button 3144">
          <a:extLst>
            <a:ext uri="{FF2B5EF4-FFF2-40B4-BE49-F238E27FC236}">
              <a16:creationId xmlns:a16="http://schemas.microsoft.com/office/drawing/2014/main" id="{00000000-0008-0000-3200-00004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6" name="Group Box 3145" descr="Group Box 5">
          <a:extLst>
            <a:ext uri="{FF2B5EF4-FFF2-40B4-BE49-F238E27FC236}">
              <a16:creationId xmlns:a16="http://schemas.microsoft.com/office/drawing/2014/main" id="{00000000-0008-0000-3200-00004A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630</xdr:row>
      <xdr:rowOff>28440</xdr:rowOff>
    </xdr:from>
    <xdr:to>
      <xdr:col>7</xdr:col>
      <xdr:colOff>-363960</xdr:colOff>
      <xdr:row>631</xdr:row>
      <xdr:rowOff>0</xdr:rowOff>
    </xdr:to>
    <xdr:sp macro="" textlink="">
      <xdr:nvSpPr>
        <xdr:cNvPr id="3147" name="Option Button 3146">
          <a:extLst>
            <a:ext uri="{FF2B5EF4-FFF2-40B4-BE49-F238E27FC236}">
              <a16:creationId xmlns:a16="http://schemas.microsoft.com/office/drawing/2014/main" id="{00000000-0008-0000-3200-00004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8" name="Option Button 3147">
          <a:extLst>
            <a:ext uri="{FF2B5EF4-FFF2-40B4-BE49-F238E27FC236}">
              <a16:creationId xmlns:a16="http://schemas.microsoft.com/office/drawing/2014/main" id="{00000000-0008-0000-3200-00004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9" name="Option Button 3148">
          <a:extLst>
            <a:ext uri="{FF2B5EF4-FFF2-40B4-BE49-F238E27FC236}">
              <a16:creationId xmlns:a16="http://schemas.microsoft.com/office/drawing/2014/main" id="{00000000-0008-0000-3200-00004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0" name="Option Button 3149">
          <a:extLst>
            <a:ext uri="{FF2B5EF4-FFF2-40B4-BE49-F238E27FC236}">
              <a16:creationId xmlns:a16="http://schemas.microsoft.com/office/drawing/2014/main" id="{00000000-0008-0000-3200-00004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1" name="Group Box 3150" descr="Group Box 5">
          <a:extLst>
            <a:ext uri="{FF2B5EF4-FFF2-40B4-BE49-F238E27FC236}">
              <a16:creationId xmlns:a16="http://schemas.microsoft.com/office/drawing/2014/main" id="{00000000-0008-0000-3200-00004F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631</xdr:row>
      <xdr:rowOff>28440</xdr:rowOff>
    </xdr:from>
    <xdr:to>
      <xdr:col>7</xdr:col>
      <xdr:colOff>-363960</xdr:colOff>
      <xdr:row>632</xdr:row>
      <xdr:rowOff>0</xdr:rowOff>
    </xdr:to>
    <xdr:sp macro="" textlink="">
      <xdr:nvSpPr>
        <xdr:cNvPr id="3152" name="Option Button 3151">
          <a:extLst>
            <a:ext uri="{FF2B5EF4-FFF2-40B4-BE49-F238E27FC236}">
              <a16:creationId xmlns:a16="http://schemas.microsoft.com/office/drawing/2014/main" id="{00000000-0008-0000-3200-00005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3" name="Option Button 3152">
          <a:extLst>
            <a:ext uri="{FF2B5EF4-FFF2-40B4-BE49-F238E27FC236}">
              <a16:creationId xmlns:a16="http://schemas.microsoft.com/office/drawing/2014/main" id="{00000000-0008-0000-3200-00005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4" name="Option Button 3153">
          <a:extLst>
            <a:ext uri="{FF2B5EF4-FFF2-40B4-BE49-F238E27FC236}">
              <a16:creationId xmlns:a16="http://schemas.microsoft.com/office/drawing/2014/main" id="{00000000-0008-0000-3200-00005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5" name="Option Button 3154">
          <a:extLst>
            <a:ext uri="{FF2B5EF4-FFF2-40B4-BE49-F238E27FC236}">
              <a16:creationId xmlns:a16="http://schemas.microsoft.com/office/drawing/2014/main" id="{00000000-0008-0000-3200-00005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6" name="Group Box 3155" descr="Group Box 5">
          <a:extLst>
            <a:ext uri="{FF2B5EF4-FFF2-40B4-BE49-F238E27FC236}">
              <a16:creationId xmlns:a16="http://schemas.microsoft.com/office/drawing/2014/main" id="{00000000-0008-0000-3200-000054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632</xdr:row>
      <xdr:rowOff>28440</xdr:rowOff>
    </xdr:from>
    <xdr:to>
      <xdr:col>7</xdr:col>
      <xdr:colOff>-363960</xdr:colOff>
      <xdr:row>633</xdr:row>
      <xdr:rowOff>0</xdr:rowOff>
    </xdr:to>
    <xdr:sp macro="" textlink="">
      <xdr:nvSpPr>
        <xdr:cNvPr id="3157" name="Option Button 3156">
          <a:extLst>
            <a:ext uri="{FF2B5EF4-FFF2-40B4-BE49-F238E27FC236}">
              <a16:creationId xmlns:a16="http://schemas.microsoft.com/office/drawing/2014/main" id="{00000000-0008-0000-3200-00005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8" name="Option Button 3157">
          <a:extLst>
            <a:ext uri="{FF2B5EF4-FFF2-40B4-BE49-F238E27FC236}">
              <a16:creationId xmlns:a16="http://schemas.microsoft.com/office/drawing/2014/main" id="{00000000-0008-0000-3200-00005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9" name="Option Button 3158">
          <a:extLst>
            <a:ext uri="{FF2B5EF4-FFF2-40B4-BE49-F238E27FC236}">
              <a16:creationId xmlns:a16="http://schemas.microsoft.com/office/drawing/2014/main" id="{00000000-0008-0000-3200-00005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0" name="Option Button 3159">
          <a:extLst>
            <a:ext uri="{FF2B5EF4-FFF2-40B4-BE49-F238E27FC236}">
              <a16:creationId xmlns:a16="http://schemas.microsoft.com/office/drawing/2014/main" id="{00000000-0008-0000-3200-00005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1" name="Group Box 3160" descr="Group Box 5">
          <a:extLst>
            <a:ext uri="{FF2B5EF4-FFF2-40B4-BE49-F238E27FC236}">
              <a16:creationId xmlns:a16="http://schemas.microsoft.com/office/drawing/2014/main" id="{00000000-0008-0000-3200-000059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633</xdr:row>
      <xdr:rowOff>28440</xdr:rowOff>
    </xdr:from>
    <xdr:to>
      <xdr:col>7</xdr:col>
      <xdr:colOff>-363960</xdr:colOff>
      <xdr:row>634</xdr:row>
      <xdr:rowOff>0</xdr:rowOff>
    </xdr:to>
    <xdr:sp macro="" textlink="">
      <xdr:nvSpPr>
        <xdr:cNvPr id="3162" name="Option Button 3161">
          <a:extLst>
            <a:ext uri="{FF2B5EF4-FFF2-40B4-BE49-F238E27FC236}">
              <a16:creationId xmlns:a16="http://schemas.microsoft.com/office/drawing/2014/main" id="{00000000-0008-0000-3200-00005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3" name="Option Button 3162">
          <a:extLst>
            <a:ext uri="{FF2B5EF4-FFF2-40B4-BE49-F238E27FC236}">
              <a16:creationId xmlns:a16="http://schemas.microsoft.com/office/drawing/2014/main" id="{00000000-0008-0000-3200-00005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4" name="Option Button 3163">
          <a:extLst>
            <a:ext uri="{FF2B5EF4-FFF2-40B4-BE49-F238E27FC236}">
              <a16:creationId xmlns:a16="http://schemas.microsoft.com/office/drawing/2014/main" id="{00000000-0008-0000-3200-00005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5" name="Option Button 3164">
          <a:extLst>
            <a:ext uri="{FF2B5EF4-FFF2-40B4-BE49-F238E27FC236}">
              <a16:creationId xmlns:a16="http://schemas.microsoft.com/office/drawing/2014/main" id="{00000000-0008-0000-3200-00005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6" name="Group Box 3165" descr="Group Box 5">
          <a:extLst>
            <a:ext uri="{FF2B5EF4-FFF2-40B4-BE49-F238E27FC236}">
              <a16:creationId xmlns:a16="http://schemas.microsoft.com/office/drawing/2014/main" id="{00000000-0008-0000-3200-00005E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634</xdr:row>
      <xdr:rowOff>28440</xdr:rowOff>
    </xdr:from>
    <xdr:to>
      <xdr:col>7</xdr:col>
      <xdr:colOff>-363960</xdr:colOff>
      <xdr:row>635</xdr:row>
      <xdr:rowOff>0</xdr:rowOff>
    </xdr:to>
    <xdr:sp macro="" textlink="">
      <xdr:nvSpPr>
        <xdr:cNvPr id="3167" name="Option Button 3166">
          <a:extLst>
            <a:ext uri="{FF2B5EF4-FFF2-40B4-BE49-F238E27FC236}">
              <a16:creationId xmlns:a16="http://schemas.microsoft.com/office/drawing/2014/main" id="{00000000-0008-0000-3200-00005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8" name="Option Button 3167">
          <a:extLst>
            <a:ext uri="{FF2B5EF4-FFF2-40B4-BE49-F238E27FC236}">
              <a16:creationId xmlns:a16="http://schemas.microsoft.com/office/drawing/2014/main" id="{00000000-0008-0000-3200-00006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9" name="Option Button 3168">
          <a:extLst>
            <a:ext uri="{FF2B5EF4-FFF2-40B4-BE49-F238E27FC236}">
              <a16:creationId xmlns:a16="http://schemas.microsoft.com/office/drawing/2014/main" id="{00000000-0008-0000-3200-00006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0" name="Option Button 3169">
          <a:extLst>
            <a:ext uri="{FF2B5EF4-FFF2-40B4-BE49-F238E27FC236}">
              <a16:creationId xmlns:a16="http://schemas.microsoft.com/office/drawing/2014/main" id="{00000000-0008-0000-3200-00006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1" name="Group Box 3170" descr="Group Box 5">
          <a:extLst>
            <a:ext uri="{FF2B5EF4-FFF2-40B4-BE49-F238E27FC236}">
              <a16:creationId xmlns:a16="http://schemas.microsoft.com/office/drawing/2014/main" id="{00000000-0008-0000-3200-000063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635</xdr:row>
      <xdr:rowOff>28440</xdr:rowOff>
    </xdr:from>
    <xdr:to>
      <xdr:col>7</xdr:col>
      <xdr:colOff>-363960</xdr:colOff>
      <xdr:row>636</xdr:row>
      <xdr:rowOff>0</xdr:rowOff>
    </xdr:to>
    <xdr:sp macro="" textlink="">
      <xdr:nvSpPr>
        <xdr:cNvPr id="3172" name="Option Button 3171">
          <a:extLst>
            <a:ext uri="{FF2B5EF4-FFF2-40B4-BE49-F238E27FC236}">
              <a16:creationId xmlns:a16="http://schemas.microsoft.com/office/drawing/2014/main" id="{00000000-0008-0000-3200-00006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3" name="Option Button 3172">
          <a:extLst>
            <a:ext uri="{FF2B5EF4-FFF2-40B4-BE49-F238E27FC236}">
              <a16:creationId xmlns:a16="http://schemas.microsoft.com/office/drawing/2014/main" id="{00000000-0008-0000-3200-00006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4" name="Option Button 3173">
          <a:extLst>
            <a:ext uri="{FF2B5EF4-FFF2-40B4-BE49-F238E27FC236}">
              <a16:creationId xmlns:a16="http://schemas.microsoft.com/office/drawing/2014/main" id="{00000000-0008-0000-3200-00006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5" name="Option Button 3174">
          <a:extLst>
            <a:ext uri="{FF2B5EF4-FFF2-40B4-BE49-F238E27FC236}">
              <a16:creationId xmlns:a16="http://schemas.microsoft.com/office/drawing/2014/main" id="{00000000-0008-0000-3200-00006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6" name="Group Box 3175" descr="Group Box 5">
          <a:extLst>
            <a:ext uri="{FF2B5EF4-FFF2-40B4-BE49-F238E27FC236}">
              <a16:creationId xmlns:a16="http://schemas.microsoft.com/office/drawing/2014/main" id="{00000000-0008-0000-3200-000068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636</xdr:row>
      <xdr:rowOff>28440</xdr:rowOff>
    </xdr:from>
    <xdr:to>
      <xdr:col>7</xdr:col>
      <xdr:colOff>-363960</xdr:colOff>
      <xdr:row>637</xdr:row>
      <xdr:rowOff>0</xdr:rowOff>
    </xdr:to>
    <xdr:sp macro="" textlink="">
      <xdr:nvSpPr>
        <xdr:cNvPr id="3177" name="Option Button 3176">
          <a:extLst>
            <a:ext uri="{FF2B5EF4-FFF2-40B4-BE49-F238E27FC236}">
              <a16:creationId xmlns:a16="http://schemas.microsoft.com/office/drawing/2014/main" id="{00000000-0008-0000-3200-00006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8" name="Option Button 3177">
          <a:extLst>
            <a:ext uri="{FF2B5EF4-FFF2-40B4-BE49-F238E27FC236}">
              <a16:creationId xmlns:a16="http://schemas.microsoft.com/office/drawing/2014/main" id="{00000000-0008-0000-3200-00006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9" name="Option Button 3178">
          <a:extLst>
            <a:ext uri="{FF2B5EF4-FFF2-40B4-BE49-F238E27FC236}">
              <a16:creationId xmlns:a16="http://schemas.microsoft.com/office/drawing/2014/main" id="{00000000-0008-0000-3200-00006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0" name="Option Button 3179">
          <a:extLst>
            <a:ext uri="{FF2B5EF4-FFF2-40B4-BE49-F238E27FC236}">
              <a16:creationId xmlns:a16="http://schemas.microsoft.com/office/drawing/2014/main" id="{00000000-0008-0000-3200-00006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1" name="Group Box 3180" descr="Group Box 5">
          <a:extLst>
            <a:ext uri="{FF2B5EF4-FFF2-40B4-BE49-F238E27FC236}">
              <a16:creationId xmlns:a16="http://schemas.microsoft.com/office/drawing/2014/main" id="{00000000-0008-0000-3200-00006D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637</xdr:row>
      <xdr:rowOff>28440</xdr:rowOff>
    </xdr:from>
    <xdr:to>
      <xdr:col>7</xdr:col>
      <xdr:colOff>-363960</xdr:colOff>
      <xdr:row>638</xdr:row>
      <xdr:rowOff>0</xdr:rowOff>
    </xdr:to>
    <xdr:sp macro="" textlink="">
      <xdr:nvSpPr>
        <xdr:cNvPr id="3182" name="Option Button 3181">
          <a:extLst>
            <a:ext uri="{FF2B5EF4-FFF2-40B4-BE49-F238E27FC236}">
              <a16:creationId xmlns:a16="http://schemas.microsoft.com/office/drawing/2014/main" id="{00000000-0008-0000-3200-00006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3" name="Option Button 3182">
          <a:extLst>
            <a:ext uri="{FF2B5EF4-FFF2-40B4-BE49-F238E27FC236}">
              <a16:creationId xmlns:a16="http://schemas.microsoft.com/office/drawing/2014/main" id="{00000000-0008-0000-3200-00006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4" name="Option Button 3183">
          <a:extLst>
            <a:ext uri="{FF2B5EF4-FFF2-40B4-BE49-F238E27FC236}">
              <a16:creationId xmlns:a16="http://schemas.microsoft.com/office/drawing/2014/main" id="{00000000-0008-0000-3200-00007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5" name="Option Button 3184">
          <a:extLst>
            <a:ext uri="{FF2B5EF4-FFF2-40B4-BE49-F238E27FC236}">
              <a16:creationId xmlns:a16="http://schemas.microsoft.com/office/drawing/2014/main" id="{00000000-0008-0000-3200-00007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6" name="Group Box 3185" descr="Group Box 5">
          <a:extLst>
            <a:ext uri="{FF2B5EF4-FFF2-40B4-BE49-F238E27FC236}">
              <a16:creationId xmlns:a16="http://schemas.microsoft.com/office/drawing/2014/main" id="{00000000-0008-0000-3200-000072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638</xdr:row>
      <xdr:rowOff>28440</xdr:rowOff>
    </xdr:from>
    <xdr:to>
      <xdr:col>7</xdr:col>
      <xdr:colOff>-363960</xdr:colOff>
      <xdr:row>639</xdr:row>
      <xdr:rowOff>0</xdr:rowOff>
    </xdr:to>
    <xdr:sp macro="" textlink="">
      <xdr:nvSpPr>
        <xdr:cNvPr id="3187" name="Option Button 3186">
          <a:extLst>
            <a:ext uri="{FF2B5EF4-FFF2-40B4-BE49-F238E27FC236}">
              <a16:creationId xmlns:a16="http://schemas.microsoft.com/office/drawing/2014/main" id="{00000000-0008-0000-3200-00007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8" name="Option Button 3187">
          <a:extLst>
            <a:ext uri="{FF2B5EF4-FFF2-40B4-BE49-F238E27FC236}">
              <a16:creationId xmlns:a16="http://schemas.microsoft.com/office/drawing/2014/main" id="{00000000-0008-0000-3200-00007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9" name="Option Button 3188">
          <a:extLst>
            <a:ext uri="{FF2B5EF4-FFF2-40B4-BE49-F238E27FC236}">
              <a16:creationId xmlns:a16="http://schemas.microsoft.com/office/drawing/2014/main" id="{00000000-0008-0000-3200-00007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0" name="Option Button 3189">
          <a:extLst>
            <a:ext uri="{FF2B5EF4-FFF2-40B4-BE49-F238E27FC236}">
              <a16:creationId xmlns:a16="http://schemas.microsoft.com/office/drawing/2014/main" id="{00000000-0008-0000-3200-00007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1" name="Group Box 3190" descr="Group Box 5">
          <a:extLst>
            <a:ext uri="{FF2B5EF4-FFF2-40B4-BE49-F238E27FC236}">
              <a16:creationId xmlns:a16="http://schemas.microsoft.com/office/drawing/2014/main" id="{00000000-0008-0000-3200-000077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639</xdr:row>
      <xdr:rowOff>28440</xdr:rowOff>
    </xdr:from>
    <xdr:to>
      <xdr:col>7</xdr:col>
      <xdr:colOff>-363960</xdr:colOff>
      <xdr:row>640</xdr:row>
      <xdr:rowOff>0</xdr:rowOff>
    </xdr:to>
    <xdr:sp macro="" textlink="">
      <xdr:nvSpPr>
        <xdr:cNvPr id="3192" name="Option Button 3191">
          <a:extLst>
            <a:ext uri="{FF2B5EF4-FFF2-40B4-BE49-F238E27FC236}">
              <a16:creationId xmlns:a16="http://schemas.microsoft.com/office/drawing/2014/main" id="{00000000-0008-0000-3200-00007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3" name="Option Button 3192">
          <a:extLst>
            <a:ext uri="{FF2B5EF4-FFF2-40B4-BE49-F238E27FC236}">
              <a16:creationId xmlns:a16="http://schemas.microsoft.com/office/drawing/2014/main" id="{00000000-0008-0000-3200-00007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4" name="Option Button 3193">
          <a:extLst>
            <a:ext uri="{FF2B5EF4-FFF2-40B4-BE49-F238E27FC236}">
              <a16:creationId xmlns:a16="http://schemas.microsoft.com/office/drawing/2014/main" id="{00000000-0008-0000-3200-00007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5" name="Option Button 3194">
          <a:extLst>
            <a:ext uri="{FF2B5EF4-FFF2-40B4-BE49-F238E27FC236}">
              <a16:creationId xmlns:a16="http://schemas.microsoft.com/office/drawing/2014/main" id="{00000000-0008-0000-3200-00007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6" name="Group Box 3195" descr="Group Box 5">
          <a:extLst>
            <a:ext uri="{FF2B5EF4-FFF2-40B4-BE49-F238E27FC236}">
              <a16:creationId xmlns:a16="http://schemas.microsoft.com/office/drawing/2014/main" id="{00000000-0008-0000-3200-00007C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640</xdr:row>
      <xdr:rowOff>28440</xdr:rowOff>
    </xdr:from>
    <xdr:to>
      <xdr:col>7</xdr:col>
      <xdr:colOff>-363960</xdr:colOff>
      <xdr:row>641</xdr:row>
      <xdr:rowOff>0</xdr:rowOff>
    </xdr:to>
    <xdr:sp macro="" textlink="">
      <xdr:nvSpPr>
        <xdr:cNvPr id="3197" name="Option Button 3196">
          <a:extLst>
            <a:ext uri="{FF2B5EF4-FFF2-40B4-BE49-F238E27FC236}">
              <a16:creationId xmlns:a16="http://schemas.microsoft.com/office/drawing/2014/main" id="{00000000-0008-0000-3200-00007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8" name="Option Button 3197">
          <a:extLst>
            <a:ext uri="{FF2B5EF4-FFF2-40B4-BE49-F238E27FC236}">
              <a16:creationId xmlns:a16="http://schemas.microsoft.com/office/drawing/2014/main" id="{00000000-0008-0000-3200-00007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9" name="Option Button 3198">
          <a:extLst>
            <a:ext uri="{FF2B5EF4-FFF2-40B4-BE49-F238E27FC236}">
              <a16:creationId xmlns:a16="http://schemas.microsoft.com/office/drawing/2014/main" id="{00000000-0008-0000-3200-00007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0" name="Option Button 3199">
          <a:extLst>
            <a:ext uri="{FF2B5EF4-FFF2-40B4-BE49-F238E27FC236}">
              <a16:creationId xmlns:a16="http://schemas.microsoft.com/office/drawing/2014/main" id="{00000000-0008-0000-3200-00008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1" name="Group Box 3200" descr="Group Box 5">
          <a:extLst>
            <a:ext uri="{FF2B5EF4-FFF2-40B4-BE49-F238E27FC236}">
              <a16:creationId xmlns:a16="http://schemas.microsoft.com/office/drawing/2014/main" id="{00000000-0008-0000-3200-000081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641</xdr:row>
      <xdr:rowOff>28440</xdr:rowOff>
    </xdr:from>
    <xdr:to>
      <xdr:col>7</xdr:col>
      <xdr:colOff>-363960</xdr:colOff>
      <xdr:row>642</xdr:row>
      <xdr:rowOff>0</xdr:rowOff>
    </xdr:to>
    <xdr:sp macro="" textlink="">
      <xdr:nvSpPr>
        <xdr:cNvPr id="3202" name="Option Button 3201">
          <a:extLst>
            <a:ext uri="{FF2B5EF4-FFF2-40B4-BE49-F238E27FC236}">
              <a16:creationId xmlns:a16="http://schemas.microsoft.com/office/drawing/2014/main" id="{00000000-0008-0000-3200-00008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3" name="Option Button 3202">
          <a:extLst>
            <a:ext uri="{FF2B5EF4-FFF2-40B4-BE49-F238E27FC236}">
              <a16:creationId xmlns:a16="http://schemas.microsoft.com/office/drawing/2014/main" id="{00000000-0008-0000-3200-00008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4" name="Option Button 3203">
          <a:extLst>
            <a:ext uri="{FF2B5EF4-FFF2-40B4-BE49-F238E27FC236}">
              <a16:creationId xmlns:a16="http://schemas.microsoft.com/office/drawing/2014/main" id="{00000000-0008-0000-3200-00008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5" name="Option Button 3204">
          <a:extLst>
            <a:ext uri="{FF2B5EF4-FFF2-40B4-BE49-F238E27FC236}">
              <a16:creationId xmlns:a16="http://schemas.microsoft.com/office/drawing/2014/main" id="{00000000-0008-0000-3200-00008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6" name="Group Box 3205" descr="Group Box 5">
          <a:extLst>
            <a:ext uri="{FF2B5EF4-FFF2-40B4-BE49-F238E27FC236}">
              <a16:creationId xmlns:a16="http://schemas.microsoft.com/office/drawing/2014/main" id="{00000000-0008-0000-3200-000086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642</xdr:row>
      <xdr:rowOff>28440</xdr:rowOff>
    </xdr:from>
    <xdr:to>
      <xdr:col>7</xdr:col>
      <xdr:colOff>-363960</xdr:colOff>
      <xdr:row>643</xdr:row>
      <xdr:rowOff>0</xdr:rowOff>
    </xdr:to>
    <xdr:sp macro="" textlink="">
      <xdr:nvSpPr>
        <xdr:cNvPr id="3207" name="Option Button 3206">
          <a:extLst>
            <a:ext uri="{FF2B5EF4-FFF2-40B4-BE49-F238E27FC236}">
              <a16:creationId xmlns:a16="http://schemas.microsoft.com/office/drawing/2014/main" id="{00000000-0008-0000-3200-00008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8" name="Option Button 3207">
          <a:extLst>
            <a:ext uri="{FF2B5EF4-FFF2-40B4-BE49-F238E27FC236}">
              <a16:creationId xmlns:a16="http://schemas.microsoft.com/office/drawing/2014/main" id="{00000000-0008-0000-3200-00008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9" name="Option Button 3208">
          <a:extLst>
            <a:ext uri="{FF2B5EF4-FFF2-40B4-BE49-F238E27FC236}">
              <a16:creationId xmlns:a16="http://schemas.microsoft.com/office/drawing/2014/main" id="{00000000-0008-0000-3200-00008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0" name="Option Button 3209">
          <a:extLst>
            <a:ext uri="{FF2B5EF4-FFF2-40B4-BE49-F238E27FC236}">
              <a16:creationId xmlns:a16="http://schemas.microsoft.com/office/drawing/2014/main" id="{00000000-0008-0000-3200-00008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1" name="Group Box 3210" descr="Group Box 5">
          <a:extLst>
            <a:ext uri="{FF2B5EF4-FFF2-40B4-BE49-F238E27FC236}">
              <a16:creationId xmlns:a16="http://schemas.microsoft.com/office/drawing/2014/main" id="{00000000-0008-0000-3200-00008B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643</xdr:row>
      <xdr:rowOff>28440</xdr:rowOff>
    </xdr:from>
    <xdr:to>
      <xdr:col>7</xdr:col>
      <xdr:colOff>-363960</xdr:colOff>
      <xdr:row>644</xdr:row>
      <xdr:rowOff>0</xdr:rowOff>
    </xdr:to>
    <xdr:sp macro="" textlink="">
      <xdr:nvSpPr>
        <xdr:cNvPr id="3212" name="Option Button 3211">
          <a:extLst>
            <a:ext uri="{FF2B5EF4-FFF2-40B4-BE49-F238E27FC236}">
              <a16:creationId xmlns:a16="http://schemas.microsoft.com/office/drawing/2014/main" id="{00000000-0008-0000-3200-00008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3" name="Option Button 3212">
          <a:extLst>
            <a:ext uri="{FF2B5EF4-FFF2-40B4-BE49-F238E27FC236}">
              <a16:creationId xmlns:a16="http://schemas.microsoft.com/office/drawing/2014/main" id="{00000000-0008-0000-3200-00008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4" name="Option Button 3213">
          <a:extLst>
            <a:ext uri="{FF2B5EF4-FFF2-40B4-BE49-F238E27FC236}">
              <a16:creationId xmlns:a16="http://schemas.microsoft.com/office/drawing/2014/main" id="{00000000-0008-0000-3200-00008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5" name="Option Button 3214">
          <a:extLst>
            <a:ext uri="{FF2B5EF4-FFF2-40B4-BE49-F238E27FC236}">
              <a16:creationId xmlns:a16="http://schemas.microsoft.com/office/drawing/2014/main" id="{00000000-0008-0000-3200-00008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6" name="Group Box 3215" descr="Group Box 5">
          <a:extLst>
            <a:ext uri="{FF2B5EF4-FFF2-40B4-BE49-F238E27FC236}">
              <a16:creationId xmlns:a16="http://schemas.microsoft.com/office/drawing/2014/main" id="{00000000-0008-0000-3200-000090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644</xdr:row>
      <xdr:rowOff>28440</xdr:rowOff>
    </xdr:from>
    <xdr:to>
      <xdr:col>7</xdr:col>
      <xdr:colOff>-363960</xdr:colOff>
      <xdr:row>645</xdr:row>
      <xdr:rowOff>0</xdr:rowOff>
    </xdr:to>
    <xdr:sp macro="" textlink="">
      <xdr:nvSpPr>
        <xdr:cNvPr id="3217" name="Option Button 3216">
          <a:extLst>
            <a:ext uri="{FF2B5EF4-FFF2-40B4-BE49-F238E27FC236}">
              <a16:creationId xmlns:a16="http://schemas.microsoft.com/office/drawing/2014/main" id="{00000000-0008-0000-3200-00009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8" name="Option Button 3217">
          <a:extLst>
            <a:ext uri="{FF2B5EF4-FFF2-40B4-BE49-F238E27FC236}">
              <a16:creationId xmlns:a16="http://schemas.microsoft.com/office/drawing/2014/main" id="{00000000-0008-0000-3200-00009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9" name="Option Button 3218">
          <a:extLst>
            <a:ext uri="{FF2B5EF4-FFF2-40B4-BE49-F238E27FC236}">
              <a16:creationId xmlns:a16="http://schemas.microsoft.com/office/drawing/2014/main" id="{00000000-0008-0000-3200-00009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0" name="Option Button 3219">
          <a:extLst>
            <a:ext uri="{FF2B5EF4-FFF2-40B4-BE49-F238E27FC236}">
              <a16:creationId xmlns:a16="http://schemas.microsoft.com/office/drawing/2014/main" id="{00000000-0008-0000-3200-00009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1" name="Group Box 3220" descr="Group Box 5">
          <a:extLst>
            <a:ext uri="{FF2B5EF4-FFF2-40B4-BE49-F238E27FC236}">
              <a16:creationId xmlns:a16="http://schemas.microsoft.com/office/drawing/2014/main" id="{00000000-0008-0000-3200-000095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645</xdr:row>
      <xdr:rowOff>28440</xdr:rowOff>
    </xdr:from>
    <xdr:to>
      <xdr:col>7</xdr:col>
      <xdr:colOff>-363960</xdr:colOff>
      <xdr:row>646</xdr:row>
      <xdr:rowOff>0</xdr:rowOff>
    </xdr:to>
    <xdr:sp macro="" textlink="">
      <xdr:nvSpPr>
        <xdr:cNvPr id="3222" name="Option Button 3221">
          <a:extLst>
            <a:ext uri="{FF2B5EF4-FFF2-40B4-BE49-F238E27FC236}">
              <a16:creationId xmlns:a16="http://schemas.microsoft.com/office/drawing/2014/main" id="{00000000-0008-0000-3200-00009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3" name="Option Button 3222">
          <a:extLst>
            <a:ext uri="{FF2B5EF4-FFF2-40B4-BE49-F238E27FC236}">
              <a16:creationId xmlns:a16="http://schemas.microsoft.com/office/drawing/2014/main" id="{00000000-0008-0000-3200-00009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4" name="Option Button 3223">
          <a:extLst>
            <a:ext uri="{FF2B5EF4-FFF2-40B4-BE49-F238E27FC236}">
              <a16:creationId xmlns:a16="http://schemas.microsoft.com/office/drawing/2014/main" id="{00000000-0008-0000-3200-00009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5" name="Option Button 3224">
          <a:extLst>
            <a:ext uri="{FF2B5EF4-FFF2-40B4-BE49-F238E27FC236}">
              <a16:creationId xmlns:a16="http://schemas.microsoft.com/office/drawing/2014/main" id="{00000000-0008-0000-3200-00009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6" name="Group Box 3225" descr="Group Box 5">
          <a:extLst>
            <a:ext uri="{FF2B5EF4-FFF2-40B4-BE49-F238E27FC236}">
              <a16:creationId xmlns:a16="http://schemas.microsoft.com/office/drawing/2014/main" id="{00000000-0008-0000-3200-00009A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646</xdr:row>
      <xdr:rowOff>28440</xdr:rowOff>
    </xdr:from>
    <xdr:to>
      <xdr:col>7</xdr:col>
      <xdr:colOff>-363960</xdr:colOff>
      <xdr:row>647</xdr:row>
      <xdr:rowOff>0</xdr:rowOff>
    </xdr:to>
    <xdr:sp macro="" textlink="">
      <xdr:nvSpPr>
        <xdr:cNvPr id="3227" name="Option Button 3226">
          <a:extLst>
            <a:ext uri="{FF2B5EF4-FFF2-40B4-BE49-F238E27FC236}">
              <a16:creationId xmlns:a16="http://schemas.microsoft.com/office/drawing/2014/main" id="{00000000-0008-0000-3200-00009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8" name="Option Button 3227">
          <a:extLst>
            <a:ext uri="{FF2B5EF4-FFF2-40B4-BE49-F238E27FC236}">
              <a16:creationId xmlns:a16="http://schemas.microsoft.com/office/drawing/2014/main" id="{00000000-0008-0000-3200-00009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9" name="Option Button 3228">
          <a:extLst>
            <a:ext uri="{FF2B5EF4-FFF2-40B4-BE49-F238E27FC236}">
              <a16:creationId xmlns:a16="http://schemas.microsoft.com/office/drawing/2014/main" id="{00000000-0008-0000-3200-00009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0" name="Option Button 3229">
          <a:extLst>
            <a:ext uri="{FF2B5EF4-FFF2-40B4-BE49-F238E27FC236}">
              <a16:creationId xmlns:a16="http://schemas.microsoft.com/office/drawing/2014/main" id="{00000000-0008-0000-3200-00009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1" name="Group Box 3230" descr="Group Box 5">
          <a:extLst>
            <a:ext uri="{FF2B5EF4-FFF2-40B4-BE49-F238E27FC236}">
              <a16:creationId xmlns:a16="http://schemas.microsoft.com/office/drawing/2014/main" id="{00000000-0008-0000-3200-00009F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647</xdr:row>
      <xdr:rowOff>28440</xdr:rowOff>
    </xdr:from>
    <xdr:to>
      <xdr:col>7</xdr:col>
      <xdr:colOff>-363960</xdr:colOff>
      <xdr:row>648</xdr:row>
      <xdr:rowOff>0</xdr:rowOff>
    </xdr:to>
    <xdr:sp macro="" textlink="">
      <xdr:nvSpPr>
        <xdr:cNvPr id="3232" name="Option Button 3231">
          <a:extLst>
            <a:ext uri="{FF2B5EF4-FFF2-40B4-BE49-F238E27FC236}">
              <a16:creationId xmlns:a16="http://schemas.microsoft.com/office/drawing/2014/main" id="{00000000-0008-0000-3200-0000A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3" name="Option Button 3232">
          <a:extLst>
            <a:ext uri="{FF2B5EF4-FFF2-40B4-BE49-F238E27FC236}">
              <a16:creationId xmlns:a16="http://schemas.microsoft.com/office/drawing/2014/main" id="{00000000-0008-0000-3200-0000A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4" name="Option Button 3233">
          <a:extLst>
            <a:ext uri="{FF2B5EF4-FFF2-40B4-BE49-F238E27FC236}">
              <a16:creationId xmlns:a16="http://schemas.microsoft.com/office/drawing/2014/main" id="{00000000-0008-0000-3200-0000A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5" name="Option Button 3234">
          <a:extLst>
            <a:ext uri="{FF2B5EF4-FFF2-40B4-BE49-F238E27FC236}">
              <a16:creationId xmlns:a16="http://schemas.microsoft.com/office/drawing/2014/main" id="{00000000-0008-0000-3200-0000A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6" name="Group Box 3235" descr="Group Box 5">
          <a:extLst>
            <a:ext uri="{FF2B5EF4-FFF2-40B4-BE49-F238E27FC236}">
              <a16:creationId xmlns:a16="http://schemas.microsoft.com/office/drawing/2014/main" id="{00000000-0008-0000-3200-0000A4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648</xdr:row>
      <xdr:rowOff>28440</xdr:rowOff>
    </xdr:from>
    <xdr:to>
      <xdr:col>7</xdr:col>
      <xdr:colOff>-363960</xdr:colOff>
      <xdr:row>649</xdr:row>
      <xdr:rowOff>0</xdr:rowOff>
    </xdr:to>
    <xdr:sp macro="" textlink="">
      <xdr:nvSpPr>
        <xdr:cNvPr id="3237" name="Option Button 3236">
          <a:extLst>
            <a:ext uri="{FF2B5EF4-FFF2-40B4-BE49-F238E27FC236}">
              <a16:creationId xmlns:a16="http://schemas.microsoft.com/office/drawing/2014/main" id="{00000000-0008-0000-3200-0000A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8" name="Option Button 3237">
          <a:extLst>
            <a:ext uri="{FF2B5EF4-FFF2-40B4-BE49-F238E27FC236}">
              <a16:creationId xmlns:a16="http://schemas.microsoft.com/office/drawing/2014/main" id="{00000000-0008-0000-3200-0000A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9" name="Option Button 3238">
          <a:extLst>
            <a:ext uri="{FF2B5EF4-FFF2-40B4-BE49-F238E27FC236}">
              <a16:creationId xmlns:a16="http://schemas.microsoft.com/office/drawing/2014/main" id="{00000000-0008-0000-3200-0000A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0" name="Option Button 3239">
          <a:extLst>
            <a:ext uri="{FF2B5EF4-FFF2-40B4-BE49-F238E27FC236}">
              <a16:creationId xmlns:a16="http://schemas.microsoft.com/office/drawing/2014/main" id="{00000000-0008-0000-3200-0000A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1" name="Group Box 3240" descr="Group Box 5">
          <a:extLst>
            <a:ext uri="{FF2B5EF4-FFF2-40B4-BE49-F238E27FC236}">
              <a16:creationId xmlns:a16="http://schemas.microsoft.com/office/drawing/2014/main" id="{00000000-0008-0000-3200-0000A9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649</xdr:row>
      <xdr:rowOff>28440</xdr:rowOff>
    </xdr:from>
    <xdr:to>
      <xdr:col>7</xdr:col>
      <xdr:colOff>-363960</xdr:colOff>
      <xdr:row>650</xdr:row>
      <xdr:rowOff>0</xdr:rowOff>
    </xdr:to>
    <xdr:sp macro="" textlink="">
      <xdr:nvSpPr>
        <xdr:cNvPr id="3242" name="Option Button 3241">
          <a:extLst>
            <a:ext uri="{FF2B5EF4-FFF2-40B4-BE49-F238E27FC236}">
              <a16:creationId xmlns:a16="http://schemas.microsoft.com/office/drawing/2014/main" id="{00000000-0008-0000-3200-0000A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3" name="Option Button 3242">
          <a:extLst>
            <a:ext uri="{FF2B5EF4-FFF2-40B4-BE49-F238E27FC236}">
              <a16:creationId xmlns:a16="http://schemas.microsoft.com/office/drawing/2014/main" id="{00000000-0008-0000-3200-0000A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4" name="Option Button 3243">
          <a:extLst>
            <a:ext uri="{FF2B5EF4-FFF2-40B4-BE49-F238E27FC236}">
              <a16:creationId xmlns:a16="http://schemas.microsoft.com/office/drawing/2014/main" id="{00000000-0008-0000-3200-0000A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5" name="Option Button 3244">
          <a:extLst>
            <a:ext uri="{FF2B5EF4-FFF2-40B4-BE49-F238E27FC236}">
              <a16:creationId xmlns:a16="http://schemas.microsoft.com/office/drawing/2014/main" id="{00000000-0008-0000-3200-0000A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6" name="Group Box 3245" descr="Group Box 5">
          <a:extLst>
            <a:ext uri="{FF2B5EF4-FFF2-40B4-BE49-F238E27FC236}">
              <a16:creationId xmlns:a16="http://schemas.microsoft.com/office/drawing/2014/main" id="{00000000-0008-0000-3200-0000AE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650</xdr:row>
      <xdr:rowOff>28440</xdr:rowOff>
    </xdr:from>
    <xdr:to>
      <xdr:col>7</xdr:col>
      <xdr:colOff>-363960</xdr:colOff>
      <xdr:row>651</xdr:row>
      <xdr:rowOff>0</xdr:rowOff>
    </xdr:to>
    <xdr:sp macro="" textlink="">
      <xdr:nvSpPr>
        <xdr:cNvPr id="3247" name="Option Button 3246">
          <a:extLst>
            <a:ext uri="{FF2B5EF4-FFF2-40B4-BE49-F238E27FC236}">
              <a16:creationId xmlns:a16="http://schemas.microsoft.com/office/drawing/2014/main" id="{00000000-0008-0000-3200-0000A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8" name="Option Button 3247">
          <a:extLst>
            <a:ext uri="{FF2B5EF4-FFF2-40B4-BE49-F238E27FC236}">
              <a16:creationId xmlns:a16="http://schemas.microsoft.com/office/drawing/2014/main" id="{00000000-0008-0000-3200-0000B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9" name="Option Button 3248">
          <a:extLst>
            <a:ext uri="{FF2B5EF4-FFF2-40B4-BE49-F238E27FC236}">
              <a16:creationId xmlns:a16="http://schemas.microsoft.com/office/drawing/2014/main" id="{00000000-0008-0000-3200-0000B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0" name="Option Button 3249">
          <a:extLst>
            <a:ext uri="{FF2B5EF4-FFF2-40B4-BE49-F238E27FC236}">
              <a16:creationId xmlns:a16="http://schemas.microsoft.com/office/drawing/2014/main" id="{00000000-0008-0000-3200-0000B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1" name="Group Box 3250" descr="Group Box 5">
          <a:extLst>
            <a:ext uri="{FF2B5EF4-FFF2-40B4-BE49-F238E27FC236}">
              <a16:creationId xmlns:a16="http://schemas.microsoft.com/office/drawing/2014/main" id="{00000000-0008-0000-3200-0000B3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651</xdr:row>
      <xdr:rowOff>28440</xdr:rowOff>
    </xdr:from>
    <xdr:to>
      <xdr:col>7</xdr:col>
      <xdr:colOff>-363960</xdr:colOff>
      <xdr:row>652</xdr:row>
      <xdr:rowOff>0</xdr:rowOff>
    </xdr:to>
    <xdr:sp macro="" textlink="">
      <xdr:nvSpPr>
        <xdr:cNvPr id="3252" name="Option Button 3251">
          <a:extLst>
            <a:ext uri="{FF2B5EF4-FFF2-40B4-BE49-F238E27FC236}">
              <a16:creationId xmlns:a16="http://schemas.microsoft.com/office/drawing/2014/main" id="{00000000-0008-0000-3200-0000B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3" name="Option Button 3252">
          <a:extLst>
            <a:ext uri="{FF2B5EF4-FFF2-40B4-BE49-F238E27FC236}">
              <a16:creationId xmlns:a16="http://schemas.microsoft.com/office/drawing/2014/main" id="{00000000-0008-0000-3200-0000B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4" name="Option Button 3253">
          <a:extLst>
            <a:ext uri="{FF2B5EF4-FFF2-40B4-BE49-F238E27FC236}">
              <a16:creationId xmlns:a16="http://schemas.microsoft.com/office/drawing/2014/main" id="{00000000-0008-0000-3200-0000B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5" name="Option Button 3254">
          <a:extLst>
            <a:ext uri="{FF2B5EF4-FFF2-40B4-BE49-F238E27FC236}">
              <a16:creationId xmlns:a16="http://schemas.microsoft.com/office/drawing/2014/main" id="{00000000-0008-0000-3200-0000B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6" name="Group Box 3255" descr="Group Box 5">
          <a:extLst>
            <a:ext uri="{FF2B5EF4-FFF2-40B4-BE49-F238E27FC236}">
              <a16:creationId xmlns:a16="http://schemas.microsoft.com/office/drawing/2014/main" id="{00000000-0008-0000-3200-0000B8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652</xdr:row>
      <xdr:rowOff>28440</xdr:rowOff>
    </xdr:from>
    <xdr:to>
      <xdr:col>7</xdr:col>
      <xdr:colOff>-363960</xdr:colOff>
      <xdr:row>653</xdr:row>
      <xdr:rowOff>0</xdr:rowOff>
    </xdr:to>
    <xdr:sp macro="" textlink="">
      <xdr:nvSpPr>
        <xdr:cNvPr id="3257" name="Option Button 3256">
          <a:extLst>
            <a:ext uri="{FF2B5EF4-FFF2-40B4-BE49-F238E27FC236}">
              <a16:creationId xmlns:a16="http://schemas.microsoft.com/office/drawing/2014/main" id="{00000000-0008-0000-3200-0000B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8" name="Option Button 3257">
          <a:extLst>
            <a:ext uri="{FF2B5EF4-FFF2-40B4-BE49-F238E27FC236}">
              <a16:creationId xmlns:a16="http://schemas.microsoft.com/office/drawing/2014/main" id="{00000000-0008-0000-3200-0000B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9" name="Option Button 3258">
          <a:extLst>
            <a:ext uri="{FF2B5EF4-FFF2-40B4-BE49-F238E27FC236}">
              <a16:creationId xmlns:a16="http://schemas.microsoft.com/office/drawing/2014/main" id="{00000000-0008-0000-3200-0000B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0" name="Option Button 3259">
          <a:extLst>
            <a:ext uri="{FF2B5EF4-FFF2-40B4-BE49-F238E27FC236}">
              <a16:creationId xmlns:a16="http://schemas.microsoft.com/office/drawing/2014/main" id="{00000000-0008-0000-3200-0000B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1" name="Group Box 3260" descr="Group Box 5">
          <a:extLst>
            <a:ext uri="{FF2B5EF4-FFF2-40B4-BE49-F238E27FC236}">
              <a16:creationId xmlns:a16="http://schemas.microsoft.com/office/drawing/2014/main" id="{00000000-0008-0000-3200-0000BD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653</xdr:row>
      <xdr:rowOff>28440</xdr:rowOff>
    </xdr:from>
    <xdr:to>
      <xdr:col>7</xdr:col>
      <xdr:colOff>-363960</xdr:colOff>
      <xdr:row>654</xdr:row>
      <xdr:rowOff>0</xdr:rowOff>
    </xdr:to>
    <xdr:sp macro="" textlink="">
      <xdr:nvSpPr>
        <xdr:cNvPr id="3262" name="Option Button 3261">
          <a:extLst>
            <a:ext uri="{FF2B5EF4-FFF2-40B4-BE49-F238E27FC236}">
              <a16:creationId xmlns:a16="http://schemas.microsoft.com/office/drawing/2014/main" id="{00000000-0008-0000-3200-0000B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3" name="Option Button 3262">
          <a:extLst>
            <a:ext uri="{FF2B5EF4-FFF2-40B4-BE49-F238E27FC236}">
              <a16:creationId xmlns:a16="http://schemas.microsoft.com/office/drawing/2014/main" id="{00000000-0008-0000-3200-0000B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4" name="Option Button 3263">
          <a:extLst>
            <a:ext uri="{FF2B5EF4-FFF2-40B4-BE49-F238E27FC236}">
              <a16:creationId xmlns:a16="http://schemas.microsoft.com/office/drawing/2014/main" id="{00000000-0008-0000-3200-0000C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5" name="Option Button 3264">
          <a:extLst>
            <a:ext uri="{FF2B5EF4-FFF2-40B4-BE49-F238E27FC236}">
              <a16:creationId xmlns:a16="http://schemas.microsoft.com/office/drawing/2014/main" id="{00000000-0008-0000-3200-0000C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6" name="Group Box 3265" descr="Group Box 5">
          <a:extLst>
            <a:ext uri="{FF2B5EF4-FFF2-40B4-BE49-F238E27FC236}">
              <a16:creationId xmlns:a16="http://schemas.microsoft.com/office/drawing/2014/main" id="{00000000-0008-0000-3200-0000C2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654</xdr:row>
      <xdr:rowOff>28440</xdr:rowOff>
    </xdr:from>
    <xdr:to>
      <xdr:col>7</xdr:col>
      <xdr:colOff>-363960</xdr:colOff>
      <xdr:row>655</xdr:row>
      <xdr:rowOff>0</xdr:rowOff>
    </xdr:to>
    <xdr:sp macro="" textlink="">
      <xdr:nvSpPr>
        <xdr:cNvPr id="3267" name="Option Button 3266">
          <a:extLst>
            <a:ext uri="{FF2B5EF4-FFF2-40B4-BE49-F238E27FC236}">
              <a16:creationId xmlns:a16="http://schemas.microsoft.com/office/drawing/2014/main" id="{00000000-0008-0000-3200-0000C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8" name="Option Button 3267">
          <a:extLst>
            <a:ext uri="{FF2B5EF4-FFF2-40B4-BE49-F238E27FC236}">
              <a16:creationId xmlns:a16="http://schemas.microsoft.com/office/drawing/2014/main" id="{00000000-0008-0000-3200-0000C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9" name="Option Button 3268">
          <a:extLst>
            <a:ext uri="{FF2B5EF4-FFF2-40B4-BE49-F238E27FC236}">
              <a16:creationId xmlns:a16="http://schemas.microsoft.com/office/drawing/2014/main" id="{00000000-0008-0000-3200-0000C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0" name="Option Button 3269">
          <a:extLst>
            <a:ext uri="{FF2B5EF4-FFF2-40B4-BE49-F238E27FC236}">
              <a16:creationId xmlns:a16="http://schemas.microsoft.com/office/drawing/2014/main" id="{00000000-0008-0000-3200-0000C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1" name="Group Box 3270" descr="Group Box 5">
          <a:extLst>
            <a:ext uri="{FF2B5EF4-FFF2-40B4-BE49-F238E27FC236}">
              <a16:creationId xmlns:a16="http://schemas.microsoft.com/office/drawing/2014/main" id="{00000000-0008-0000-3200-0000C7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655</xdr:row>
      <xdr:rowOff>28440</xdr:rowOff>
    </xdr:from>
    <xdr:to>
      <xdr:col>7</xdr:col>
      <xdr:colOff>-363960</xdr:colOff>
      <xdr:row>656</xdr:row>
      <xdr:rowOff>0</xdr:rowOff>
    </xdr:to>
    <xdr:sp macro="" textlink="">
      <xdr:nvSpPr>
        <xdr:cNvPr id="3272" name="Option Button 3271">
          <a:extLst>
            <a:ext uri="{FF2B5EF4-FFF2-40B4-BE49-F238E27FC236}">
              <a16:creationId xmlns:a16="http://schemas.microsoft.com/office/drawing/2014/main" id="{00000000-0008-0000-3200-0000C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3" name="Option Button 3272">
          <a:extLst>
            <a:ext uri="{FF2B5EF4-FFF2-40B4-BE49-F238E27FC236}">
              <a16:creationId xmlns:a16="http://schemas.microsoft.com/office/drawing/2014/main" id="{00000000-0008-0000-3200-0000C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4" name="Option Button 3273">
          <a:extLst>
            <a:ext uri="{FF2B5EF4-FFF2-40B4-BE49-F238E27FC236}">
              <a16:creationId xmlns:a16="http://schemas.microsoft.com/office/drawing/2014/main" id="{00000000-0008-0000-3200-0000C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5" name="Option Button 3274">
          <a:extLst>
            <a:ext uri="{FF2B5EF4-FFF2-40B4-BE49-F238E27FC236}">
              <a16:creationId xmlns:a16="http://schemas.microsoft.com/office/drawing/2014/main" id="{00000000-0008-0000-3200-0000C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6" name="Group Box 3275" descr="Group Box 5">
          <a:extLst>
            <a:ext uri="{FF2B5EF4-FFF2-40B4-BE49-F238E27FC236}">
              <a16:creationId xmlns:a16="http://schemas.microsoft.com/office/drawing/2014/main" id="{00000000-0008-0000-3200-0000CC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656</xdr:row>
      <xdr:rowOff>28440</xdr:rowOff>
    </xdr:from>
    <xdr:to>
      <xdr:col>7</xdr:col>
      <xdr:colOff>-363960</xdr:colOff>
      <xdr:row>657</xdr:row>
      <xdr:rowOff>0</xdr:rowOff>
    </xdr:to>
    <xdr:sp macro="" textlink="">
      <xdr:nvSpPr>
        <xdr:cNvPr id="3277" name="Option Button 3276">
          <a:extLst>
            <a:ext uri="{FF2B5EF4-FFF2-40B4-BE49-F238E27FC236}">
              <a16:creationId xmlns:a16="http://schemas.microsoft.com/office/drawing/2014/main" id="{00000000-0008-0000-3200-0000C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8" name="Option Button 3277">
          <a:extLst>
            <a:ext uri="{FF2B5EF4-FFF2-40B4-BE49-F238E27FC236}">
              <a16:creationId xmlns:a16="http://schemas.microsoft.com/office/drawing/2014/main" id="{00000000-0008-0000-3200-0000C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9" name="Option Button 3278">
          <a:extLst>
            <a:ext uri="{FF2B5EF4-FFF2-40B4-BE49-F238E27FC236}">
              <a16:creationId xmlns:a16="http://schemas.microsoft.com/office/drawing/2014/main" id="{00000000-0008-0000-3200-0000C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0" name="Option Button 3279">
          <a:extLst>
            <a:ext uri="{FF2B5EF4-FFF2-40B4-BE49-F238E27FC236}">
              <a16:creationId xmlns:a16="http://schemas.microsoft.com/office/drawing/2014/main" id="{00000000-0008-0000-3200-0000D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1" name="Group Box 3280" descr="Group Box 5">
          <a:extLst>
            <a:ext uri="{FF2B5EF4-FFF2-40B4-BE49-F238E27FC236}">
              <a16:creationId xmlns:a16="http://schemas.microsoft.com/office/drawing/2014/main" id="{00000000-0008-0000-3200-0000D1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657</xdr:row>
      <xdr:rowOff>28440</xdr:rowOff>
    </xdr:from>
    <xdr:to>
      <xdr:col>7</xdr:col>
      <xdr:colOff>-363960</xdr:colOff>
      <xdr:row>658</xdr:row>
      <xdr:rowOff>0</xdr:rowOff>
    </xdr:to>
    <xdr:sp macro="" textlink="">
      <xdr:nvSpPr>
        <xdr:cNvPr id="3282" name="Option Button 3281">
          <a:extLst>
            <a:ext uri="{FF2B5EF4-FFF2-40B4-BE49-F238E27FC236}">
              <a16:creationId xmlns:a16="http://schemas.microsoft.com/office/drawing/2014/main" id="{00000000-0008-0000-3200-0000D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3" name="Option Button 3282">
          <a:extLst>
            <a:ext uri="{FF2B5EF4-FFF2-40B4-BE49-F238E27FC236}">
              <a16:creationId xmlns:a16="http://schemas.microsoft.com/office/drawing/2014/main" id="{00000000-0008-0000-3200-0000D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4" name="Option Button 3283">
          <a:extLst>
            <a:ext uri="{FF2B5EF4-FFF2-40B4-BE49-F238E27FC236}">
              <a16:creationId xmlns:a16="http://schemas.microsoft.com/office/drawing/2014/main" id="{00000000-0008-0000-3200-0000D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5" name="Option Button 3284">
          <a:extLst>
            <a:ext uri="{FF2B5EF4-FFF2-40B4-BE49-F238E27FC236}">
              <a16:creationId xmlns:a16="http://schemas.microsoft.com/office/drawing/2014/main" id="{00000000-0008-0000-3200-0000D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6" name="Group Box 3285" descr="Group Box 5">
          <a:extLst>
            <a:ext uri="{FF2B5EF4-FFF2-40B4-BE49-F238E27FC236}">
              <a16:creationId xmlns:a16="http://schemas.microsoft.com/office/drawing/2014/main" id="{00000000-0008-0000-3200-0000D6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658</xdr:row>
      <xdr:rowOff>28440</xdr:rowOff>
    </xdr:from>
    <xdr:to>
      <xdr:col>7</xdr:col>
      <xdr:colOff>-363960</xdr:colOff>
      <xdr:row>659</xdr:row>
      <xdr:rowOff>0</xdr:rowOff>
    </xdr:to>
    <xdr:sp macro="" textlink="">
      <xdr:nvSpPr>
        <xdr:cNvPr id="3287" name="Option Button 3286">
          <a:extLst>
            <a:ext uri="{FF2B5EF4-FFF2-40B4-BE49-F238E27FC236}">
              <a16:creationId xmlns:a16="http://schemas.microsoft.com/office/drawing/2014/main" id="{00000000-0008-0000-3200-0000D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8" name="Option Button 3287">
          <a:extLst>
            <a:ext uri="{FF2B5EF4-FFF2-40B4-BE49-F238E27FC236}">
              <a16:creationId xmlns:a16="http://schemas.microsoft.com/office/drawing/2014/main" id="{00000000-0008-0000-3200-0000D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9" name="Option Button 3288">
          <a:extLst>
            <a:ext uri="{FF2B5EF4-FFF2-40B4-BE49-F238E27FC236}">
              <a16:creationId xmlns:a16="http://schemas.microsoft.com/office/drawing/2014/main" id="{00000000-0008-0000-3200-0000D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0" name="Option Button 3289">
          <a:extLst>
            <a:ext uri="{FF2B5EF4-FFF2-40B4-BE49-F238E27FC236}">
              <a16:creationId xmlns:a16="http://schemas.microsoft.com/office/drawing/2014/main" id="{00000000-0008-0000-3200-0000D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1" name="Group Box 3290" descr="Group Box 5">
          <a:extLst>
            <a:ext uri="{FF2B5EF4-FFF2-40B4-BE49-F238E27FC236}">
              <a16:creationId xmlns:a16="http://schemas.microsoft.com/office/drawing/2014/main" id="{00000000-0008-0000-3200-0000DB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659</xdr:row>
      <xdr:rowOff>28440</xdr:rowOff>
    </xdr:from>
    <xdr:to>
      <xdr:col>7</xdr:col>
      <xdr:colOff>-363960</xdr:colOff>
      <xdr:row>660</xdr:row>
      <xdr:rowOff>0</xdr:rowOff>
    </xdr:to>
    <xdr:sp macro="" textlink="">
      <xdr:nvSpPr>
        <xdr:cNvPr id="3292" name="Option Button 3291">
          <a:extLst>
            <a:ext uri="{FF2B5EF4-FFF2-40B4-BE49-F238E27FC236}">
              <a16:creationId xmlns:a16="http://schemas.microsoft.com/office/drawing/2014/main" id="{00000000-0008-0000-3200-0000D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3" name="Option Button 3292">
          <a:extLst>
            <a:ext uri="{FF2B5EF4-FFF2-40B4-BE49-F238E27FC236}">
              <a16:creationId xmlns:a16="http://schemas.microsoft.com/office/drawing/2014/main" id="{00000000-0008-0000-3200-0000D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4" name="Option Button 3293">
          <a:extLst>
            <a:ext uri="{FF2B5EF4-FFF2-40B4-BE49-F238E27FC236}">
              <a16:creationId xmlns:a16="http://schemas.microsoft.com/office/drawing/2014/main" id="{00000000-0008-0000-3200-0000D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5" name="Option Button 3294">
          <a:extLst>
            <a:ext uri="{FF2B5EF4-FFF2-40B4-BE49-F238E27FC236}">
              <a16:creationId xmlns:a16="http://schemas.microsoft.com/office/drawing/2014/main" id="{00000000-0008-0000-3200-0000D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6" name="Group Box 3295" descr="Group Box 5">
          <a:extLst>
            <a:ext uri="{FF2B5EF4-FFF2-40B4-BE49-F238E27FC236}">
              <a16:creationId xmlns:a16="http://schemas.microsoft.com/office/drawing/2014/main" id="{00000000-0008-0000-3200-0000E0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660</xdr:row>
      <xdr:rowOff>28440</xdr:rowOff>
    </xdr:from>
    <xdr:to>
      <xdr:col>7</xdr:col>
      <xdr:colOff>-363960</xdr:colOff>
      <xdr:row>661</xdr:row>
      <xdr:rowOff>0</xdr:rowOff>
    </xdr:to>
    <xdr:sp macro="" textlink="">
      <xdr:nvSpPr>
        <xdr:cNvPr id="3297" name="Option Button 3296">
          <a:extLst>
            <a:ext uri="{FF2B5EF4-FFF2-40B4-BE49-F238E27FC236}">
              <a16:creationId xmlns:a16="http://schemas.microsoft.com/office/drawing/2014/main" id="{00000000-0008-0000-3200-0000E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8" name="Option Button 3297">
          <a:extLst>
            <a:ext uri="{FF2B5EF4-FFF2-40B4-BE49-F238E27FC236}">
              <a16:creationId xmlns:a16="http://schemas.microsoft.com/office/drawing/2014/main" id="{00000000-0008-0000-3200-0000E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9" name="Option Button 3298">
          <a:extLst>
            <a:ext uri="{FF2B5EF4-FFF2-40B4-BE49-F238E27FC236}">
              <a16:creationId xmlns:a16="http://schemas.microsoft.com/office/drawing/2014/main" id="{00000000-0008-0000-3200-0000E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0" name="Option Button 3299">
          <a:extLst>
            <a:ext uri="{FF2B5EF4-FFF2-40B4-BE49-F238E27FC236}">
              <a16:creationId xmlns:a16="http://schemas.microsoft.com/office/drawing/2014/main" id="{00000000-0008-0000-3200-0000E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1" name="Group Box 3300" descr="Group Box 5">
          <a:extLst>
            <a:ext uri="{FF2B5EF4-FFF2-40B4-BE49-F238E27FC236}">
              <a16:creationId xmlns:a16="http://schemas.microsoft.com/office/drawing/2014/main" id="{00000000-0008-0000-3200-0000E5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661</xdr:row>
      <xdr:rowOff>28440</xdr:rowOff>
    </xdr:from>
    <xdr:to>
      <xdr:col>7</xdr:col>
      <xdr:colOff>-363960</xdr:colOff>
      <xdr:row>662</xdr:row>
      <xdr:rowOff>0</xdr:rowOff>
    </xdr:to>
    <xdr:sp macro="" textlink="">
      <xdr:nvSpPr>
        <xdr:cNvPr id="3302" name="Option Button 3301">
          <a:extLst>
            <a:ext uri="{FF2B5EF4-FFF2-40B4-BE49-F238E27FC236}">
              <a16:creationId xmlns:a16="http://schemas.microsoft.com/office/drawing/2014/main" id="{00000000-0008-0000-3200-0000E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3" name="Option Button 3302">
          <a:extLst>
            <a:ext uri="{FF2B5EF4-FFF2-40B4-BE49-F238E27FC236}">
              <a16:creationId xmlns:a16="http://schemas.microsoft.com/office/drawing/2014/main" id="{00000000-0008-0000-3200-0000E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4" name="Option Button 3303">
          <a:extLst>
            <a:ext uri="{FF2B5EF4-FFF2-40B4-BE49-F238E27FC236}">
              <a16:creationId xmlns:a16="http://schemas.microsoft.com/office/drawing/2014/main" id="{00000000-0008-0000-3200-0000E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5" name="Option Button 3304">
          <a:extLst>
            <a:ext uri="{FF2B5EF4-FFF2-40B4-BE49-F238E27FC236}">
              <a16:creationId xmlns:a16="http://schemas.microsoft.com/office/drawing/2014/main" id="{00000000-0008-0000-3200-0000E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6" name="Group Box 3305" descr="Group Box 5">
          <a:extLst>
            <a:ext uri="{FF2B5EF4-FFF2-40B4-BE49-F238E27FC236}">
              <a16:creationId xmlns:a16="http://schemas.microsoft.com/office/drawing/2014/main" id="{00000000-0008-0000-3200-0000EA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662</xdr:row>
      <xdr:rowOff>28440</xdr:rowOff>
    </xdr:from>
    <xdr:to>
      <xdr:col>7</xdr:col>
      <xdr:colOff>-363960</xdr:colOff>
      <xdr:row>663</xdr:row>
      <xdr:rowOff>0</xdr:rowOff>
    </xdr:to>
    <xdr:sp macro="" textlink="">
      <xdr:nvSpPr>
        <xdr:cNvPr id="3307" name="Option Button 3306">
          <a:extLst>
            <a:ext uri="{FF2B5EF4-FFF2-40B4-BE49-F238E27FC236}">
              <a16:creationId xmlns:a16="http://schemas.microsoft.com/office/drawing/2014/main" id="{00000000-0008-0000-3200-0000E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8" name="Option Button 3307">
          <a:extLst>
            <a:ext uri="{FF2B5EF4-FFF2-40B4-BE49-F238E27FC236}">
              <a16:creationId xmlns:a16="http://schemas.microsoft.com/office/drawing/2014/main" id="{00000000-0008-0000-3200-0000E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9" name="Option Button 3308">
          <a:extLst>
            <a:ext uri="{FF2B5EF4-FFF2-40B4-BE49-F238E27FC236}">
              <a16:creationId xmlns:a16="http://schemas.microsoft.com/office/drawing/2014/main" id="{00000000-0008-0000-3200-0000E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0" name="Option Button 3309">
          <a:extLst>
            <a:ext uri="{FF2B5EF4-FFF2-40B4-BE49-F238E27FC236}">
              <a16:creationId xmlns:a16="http://schemas.microsoft.com/office/drawing/2014/main" id="{00000000-0008-0000-3200-0000E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1" name="Group Box 3310" descr="Group Box 5">
          <a:extLst>
            <a:ext uri="{FF2B5EF4-FFF2-40B4-BE49-F238E27FC236}">
              <a16:creationId xmlns:a16="http://schemas.microsoft.com/office/drawing/2014/main" id="{00000000-0008-0000-3200-0000EF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663</xdr:row>
      <xdr:rowOff>28440</xdr:rowOff>
    </xdr:from>
    <xdr:to>
      <xdr:col>7</xdr:col>
      <xdr:colOff>-363960</xdr:colOff>
      <xdr:row>664</xdr:row>
      <xdr:rowOff>0</xdr:rowOff>
    </xdr:to>
    <xdr:sp macro="" textlink="">
      <xdr:nvSpPr>
        <xdr:cNvPr id="3312" name="Option Button 3311">
          <a:extLst>
            <a:ext uri="{FF2B5EF4-FFF2-40B4-BE49-F238E27FC236}">
              <a16:creationId xmlns:a16="http://schemas.microsoft.com/office/drawing/2014/main" id="{00000000-0008-0000-3200-0000F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3" name="Option Button 3312">
          <a:extLst>
            <a:ext uri="{FF2B5EF4-FFF2-40B4-BE49-F238E27FC236}">
              <a16:creationId xmlns:a16="http://schemas.microsoft.com/office/drawing/2014/main" id="{00000000-0008-0000-3200-0000F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4" name="Option Button 3313">
          <a:extLst>
            <a:ext uri="{FF2B5EF4-FFF2-40B4-BE49-F238E27FC236}">
              <a16:creationId xmlns:a16="http://schemas.microsoft.com/office/drawing/2014/main" id="{00000000-0008-0000-3200-0000F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5" name="Option Button 3314">
          <a:extLst>
            <a:ext uri="{FF2B5EF4-FFF2-40B4-BE49-F238E27FC236}">
              <a16:creationId xmlns:a16="http://schemas.microsoft.com/office/drawing/2014/main" id="{00000000-0008-0000-3200-0000F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6" name="Group Box 3315" descr="Group Box 5">
          <a:extLst>
            <a:ext uri="{FF2B5EF4-FFF2-40B4-BE49-F238E27FC236}">
              <a16:creationId xmlns:a16="http://schemas.microsoft.com/office/drawing/2014/main" id="{00000000-0008-0000-3200-0000F4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664</xdr:row>
      <xdr:rowOff>28440</xdr:rowOff>
    </xdr:from>
    <xdr:to>
      <xdr:col>7</xdr:col>
      <xdr:colOff>-363960</xdr:colOff>
      <xdr:row>665</xdr:row>
      <xdr:rowOff>0</xdr:rowOff>
    </xdr:to>
    <xdr:sp macro="" textlink="">
      <xdr:nvSpPr>
        <xdr:cNvPr id="3317" name="Option Button 3316">
          <a:extLst>
            <a:ext uri="{FF2B5EF4-FFF2-40B4-BE49-F238E27FC236}">
              <a16:creationId xmlns:a16="http://schemas.microsoft.com/office/drawing/2014/main" id="{00000000-0008-0000-3200-0000F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8" name="Option Button 3317">
          <a:extLst>
            <a:ext uri="{FF2B5EF4-FFF2-40B4-BE49-F238E27FC236}">
              <a16:creationId xmlns:a16="http://schemas.microsoft.com/office/drawing/2014/main" id="{00000000-0008-0000-3200-0000F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9" name="Option Button 3318">
          <a:extLst>
            <a:ext uri="{FF2B5EF4-FFF2-40B4-BE49-F238E27FC236}">
              <a16:creationId xmlns:a16="http://schemas.microsoft.com/office/drawing/2014/main" id="{00000000-0008-0000-3200-0000F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0" name="Option Button 3319">
          <a:extLst>
            <a:ext uri="{FF2B5EF4-FFF2-40B4-BE49-F238E27FC236}">
              <a16:creationId xmlns:a16="http://schemas.microsoft.com/office/drawing/2014/main" id="{00000000-0008-0000-3200-0000F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1" name="Group Box 3320" descr="Group Box 5">
          <a:extLst>
            <a:ext uri="{FF2B5EF4-FFF2-40B4-BE49-F238E27FC236}">
              <a16:creationId xmlns:a16="http://schemas.microsoft.com/office/drawing/2014/main" id="{00000000-0008-0000-3200-0000F9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665</xdr:row>
      <xdr:rowOff>28440</xdr:rowOff>
    </xdr:from>
    <xdr:to>
      <xdr:col>7</xdr:col>
      <xdr:colOff>-363960</xdr:colOff>
      <xdr:row>666</xdr:row>
      <xdr:rowOff>0</xdr:rowOff>
    </xdr:to>
    <xdr:sp macro="" textlink="">
      <xdr:nvSpPr>
        <xdr:cNvPr id="3322" name="Option Button 3321">
          <a:extLst>
            <a:ext uri="{FF2B5EF4-FFF2-40B4-BE49-F238E27FC236}">
              <a16:creationId xmlns:a16="http://schemas.microsoft.com/office/drawing/2014/main" id="{00000000-0008-0000-3200-0000F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3" name="Option Button 3322">
          <a:extLst>
            <a:ext uri="{FF2B5EF4-FFF2-40B4-BE49-F238E27FC236}">
              <a16:creationId xmlns:a16="http://schemas.microsoft.com/office/drawing/2014/main" id="{00000000-0008-0000-3200-0000F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4" name="Option Button 3323">
          <a:extLst>
            <a:ext uri="{FF2B5EF4-FFF2-40B4-BE49-F238E27FC236}">
              <a16:creationId xmlns:a16="http://schemas.microsoft.com/office/drawing/2014/main" id="{00000000-0008-0000-3200-0000F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5" name="Option Button 3324">
          <a:extLst>
            <a:ext uri="{FF2B5EF4-FFF2-40B4-BE49-F238E27FC236}">
              <a16:creationId xmlns:a16="http://schemas.microsoft.com/office/drawing/2014/main" id="{00000000-0008-0000-3200-0000F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6" name="Group Box 3325" descr="Group Box 5">
          <a:extLst>
            <a:ext uri="{FF2B5EF4-FFF2-40B4-BE49-F238E27FC236}">
              <a16:creationId xmlns:a16="http://schemas.microsoft.com/office/drawing/2014/main" id="{00000000-0008-0000-3200-0000FE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666</xdr:row>
      <xdr:rowOff>28440</xdr:rowOff>
    </xdr:from>
    <xdr:to>
      <xdr:col>7</xdr:col>
      <xdr:colOff>-363960</xdr:colOff>
      <xdr:row>667</xdr:row>
      <xdr:rowOff>0</xdr:rowOff>
    </xdr:to>
    <xdr:sp macro="" textlink="">
      <xdr:nvSpPr>
        <xdr:cNvPr id="3327" name="Option Button 3326">
          <a:extLst>
            <a:ext uri="{FF2B5EF4-FFF2-40B4-BE49-F238E27FC236}">
              <a16:creationId xmlns:a16="http://schemas.microsoft.com/office/drawing/2014/main" id="{00000000-0008-0000-3200-0000F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8" name="Option Button 3327">
          <a:extLst>
            <a:ext uri="{FF2B5EF4-FFF2-40B4-BE49-F238E27FC236}">
              <a16:creationId xmlns:a16="http://schemas.microsoft.com/office/drawing/2014/main" id="{00000000-0008-0000-3200-00000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9" name="Option Button 3328">
          <a:extLst>
            <a:ext uri="{FF2B5EF4-FFF2-40B4-BE49-F238E27FC236}">
              <a16:creationId xmlns:a16="http://schemas.microsoft.com/office/drawing/2014/main" id="{00000000-0008-0000-3200-00000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0" name="Option Button 3329">
          <a:extLst>
            <a:ext uri="{FF2B5EF4-FFF2-40B4-BE49-F238E27FC236}">
              <a16:creationId xmlns:a16="http://schemas.microsoft.com/office/drawing/2014/main" id="{00000000-0008-0000-3200-00000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1" name="Group Box 3330" descr="Group Box 5">
          <a:extLst>
            <a:ext uri="{FF2B5EF4-FFF2-40B4-BE49-F238E27FC236}">
              <a16:creationId xmlns:a16="http://schemas.microsoft.com/office/drawing/2014/main" id="{00000000-0008-0000-3200-000003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667</xdr:row>
      <xdr:rowOff>28440</xdr:rowOff>
    </xdr:from>
    <xdr:to>
      <xdr:col>7</xdr:col>
      <xdr:colOff>-363960</xdr:colOff>
      <xdr:row>668</xdr:row>
      <xdr:rowOff>0</xdr:rowOff>
    </xdr:to>
    <xdr:sp macro="" textlink="">
      <xdr:nvSpPr>
        <xdr:cNvPr id="3332" name="Option Button 3331">
          <a:extLst>
            <a:ext uri="{FF2B5EF4-FFF2-40B4-BE49-F238E27FC236}">
              <a16:creationId xmlns:a16="http://schemas.microsoft.com/office/drawing/2014/main" id="{00000000-0008-0000-3200-00000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3" name="Option Button 3332">
          <a:extLst>
            <a:ext uri="{FF2B5EF4-FFF2-40B4-BE49-F238E27FC236}">
              <a16:creationId xmlns:a16="http://schemas.microsoft.com/office/drawing/2014/main" id="{00000000-0008-0000-3200-00000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4" name="Option Button 3333">
          <a:extLst>
            <a:ext uri="{FF2B5EF4-FFF2-40B4-BE49-F238E27FC236}">
              <a16:creationId xmlns:a16="http://schemas.microsoft.com/office/drawing/2014/main" id="{00000000-0008-0000-3200-00000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5" name="Option Button 3334">
          <a:extLst>
            <a:ext uri="{FF2B5EF4-FFF2-40B4-BE49-F238E27FC236}">
              <a16:creationId xmlns:a16="http://schemas.microsoft.com/office/drawing/2014/main" id="{00000000-0008-0000-3200-00000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6" name="Group Box 3335" descr="Group Box 5">
          <a:extLst>
            <a:ext uri="{FF2B5EF4-FFF2-40B4-BE49-F238E27FC236}">
              <a16:creationId xmlns:a16="http://schemas.microsoft.com/office/drawing/2014/main" id="{00000000-0008-0000-3200-000008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668</xdr:row>
      <xdr:rowOff>28440</xdr:rowOff>
    </xdr:from>
    <xdr:to>
      <xdr:col>7</xdr:col>
      <xdr:colOff>-363960</xdr:colOff>
      <xdr:row>669</xdr:row>
      <xdr:rowOff>0</xdr:rowOff>
    </xdr:to>
    <xdr:sp macro="" textlink="">
      <xdr:nvSpPr>
        <xdr:cNvPr id="3337" name="Option Button 3336">
          <a:extLst>
            <a:ext uri="{FF2B5EF4-FFF2-40B4-BE49-F238E27FC236}">
              <a16:creationId xmlns:a16="http://schemas.microsoft.com/office/drawing/2014/main" id="{00000000-0008-0000-3200-00000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8" name="Option Button 3337">
          <a:extLst>
            <a:ext uri="{FF2B5EF4-FFF2-40B4-BE49-F238E27FC236}">
              <a16:creationId xmlns:a16="http://schemas.microsoft.com/office/drawing/2014/main" id="{00000000-0008-0000-3200-00000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9" name="Option Button 3338">
          <a:extLst>
            <a:ext uri="{FF2B5EF4-FFF2-40B4-BE49-F238E27FC236}">
              <a16:creationId xmlns:a16="http://schemas.microsoft.com/office/drawing/2014/main" id="{00000000-0008-0000-3200-00000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0" name="Option Button 3339">
          <a:extLst>
            <a:ext uri="{FF2B5EF4-FFF2-40B4-BE49-F238E27FC236}">
              <a16:creationId xmlns:a16="http://schemas.microsoft.com/office/drawing/2014/main" id="{00000000-0008-0000-3200-00000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1" name="Group Box 3340" descr="Group Box 5">
          <a:extLst>
            <a:ext uri="{FF2B5EF4-FFF2-40B4-BE49-F238E27FC236}">
              <a16:creationId xmlns:a16="http://schemas.microsoft.com/office/drawing/2014/main" id="{00000000-0008-0000-3200-00000D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669</xdr:row>
      <xdr:rowOff>28440</xdr:rowOff>
    </xdr:from>
    <xdr:to>
      <xdr:col>7</xdr:col>
      <xdr:colOff>-363960</xdr:colOff>
      <xdr:row>670</xdr:row>
      <xdr:rowOff>0</xdr:rowOff>
    </xdr:to>
    <xdr:sp macro="" textlink="">
      <xdr:nvSpPr>
        <xdr:cNvPr id="3342" name="Option Button 3341">
          <a:extLst>
            <a:ext uri="{FF2B5EF4-FFF2-40B4-BE49-F238E27FC236}">
              <a16:creationId xmlns:a16="http://schemas.microsoft.com/office/drawing/2014/main" id="{00000000-0008-0000-3200-00000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3" name="Option Button 3342">
          <a:extLst>
            <a:ext uri="{FF2B5EF4-FFF2-40B4-BE49-F238E27FC236}">
              <a16:creationId xmlns:a16="http://schemas.microsoft.com/office/drawing/2014/main" id="{00000000-0008-0000-3200-00000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4" name="Option Button 3343">
          <a:extLst>
            <a:ext uri="{FF2B5EF4-FFF2-40B4-BE49-F238E27FC236}">
              <a16:creationId xmlns:a16="http://schemas.microsoft.com/office/drawing/2014/main" id="{00000000-0008-0000-3200-00001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5" name="Option Button 3344">
          <a:extLst>
            <a:ext uri="{FF2B5EF4-FFF2-40B4-BE49-F238E27FC236}">
              <a16:creationId xmlns:a16="http://schemas.microsoft.com/office/drawing/2014/main" id="{00000000-0008-0000-3200-00001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6" name="Group Box 3345" descr="Group Box 5">
          <a:extLst>
            <a:ext uri="{FF2B5EF4-FFF2-40B4-BE49-F238E27FC236}">
              <a16:creationId xmlns:a16="http://schemas.microsoft.com/office/drawing/2014/main" id="{00000000-0008-0000-3200-000012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670</xdr:row>
      <xdr:rowOff>28440</xdr:rowOff>
    </xdr:from>
    <xdr:to>
      <xdr:col>7</xdr:col>
      <xdr:colOff>-363960</xdr:colOff>
      <xdr:row>671</xdr:row>
      <xdr:rowOff>0</xdr:rowOff>
    </xdr:to>
    <xdr:sp macro="" textlink="">
      <xdr:nvSpPr>
        <xdr:cNvPr id="3347" name="Option Button 3346">
          <a:extLst>
            <a:ext uri="{FF2B5EF4-FFF2-40B4-BE49-F238E27FC236}">
              <a16:creationId xmlns:a16="http://schemas.microsoft.com/office/drawing/2014/main" id="{00000000-0008-0000-3200-00001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8" name="Option Button 3347">
          <a:extLst>
            <a:ext uri="{FF2B5EF4-FFF2-40B4-BE49-F238E27FC236}">
              <a16:creationId xmlns:a16="http://schemas.microsoft.com/office/drawing/2014/main" id="{00000000-0008-0000-3200-00001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9" name="Option Button 3348">
          <a:extLst>
            <a:ext uri="{FF2B5EF4-FFF2-40B4-BE49-F238E27FC236}">
              <a16:creationId xmlns:a16="http://schemas.microsoft.com/office/drawing/2014/main" id="{00000000-0008-0000-3200-00001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0" name="Option Button 3349">
          <a:extLst>
            <a:ext uri="{FF2B5EF4-FFF2-40B4-BE49-F238E27FC236}">
              <a16:creationId xmlns:a16="http://schemas.microsoft.com/office/drawing/2014/main" id="{00000000-0008-0000-3200-00001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1" name="Group Box 3350" descr="Group Box 5">
          <a:extLst>
            <a:ext uri="{FF2B5EF4-FFF2-40B4-BE49-F238E27FC236}">
              <a16:creationId xmlns:a16="http://schemas.microsoft.com/office/drawing/2014/main" id="{00000000-0008-0000-3200-000017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671</xdr:row>
      <xdr:rowOff>28440</xdr:rowOff>
    </xdr:from>
    <xdr:to>
      <xdr:col>7</xdr:col>
      <xdr:colOff>-363960</xdr:colOff>
      <xdr:row>672</xdr:row>
      <xdr:rowOff>0</xdr:rowOff>
    </xdr:to>
    <xdr:sp macro="" textlink="">
      <xdr:nvSpPr>
        <xdr:cNvPr id="3352" name="Option Button 3351">
          <a:extLst>
            <a:ext uri="{FF2B5EF4-FFF2-40B4-BE49-F238E27FC236}">
              <a16:creationId xmlns:a16="http://schemas.microsoft.com/office/drawing/2014/main" id="{00000000-0008-0000-3200-00001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3" name="Option Button 3352">
          <a:extLst>
            <a:ext uri="{FF2B5EF4-FFF2-40B4-BE49-F238E27FC236}">
              <a16:creationId xmlns:a16="http://schemas.microsoft.com/office/drawing/2014/main" id="{00000000-0008-0000-3200-00001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4" name="Option Button 3353">
          <a:extLst>
            <a:ext uri="{FF2B5EF4-FFF2-40B4-BE49-F238E27FC236}">
              <a16:creationId xmlns:a16="http://schemas.microsoft.com/office/drawing/2014/main" id="{00000000-0008-0000-3200-00001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5" name="Option Button 3354">
          <a:extLst>
            <a:ext uri="{FF2B5EF4-FFF2-40B4-BE49-F238E27FC236}">
              <a16:creationId xmlns:a16="http://schemas.microsoft.com/office/drawing/2014/main" id="{00000000-0008-0000-3200-00001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6" name="Group Box 3355" descr="Group Box 5">
          <a:extLst>
            <a:ext uri="{FF2B5EF4-FFF2-40B4-BE49-F238E27FC236}">
              <a16:creationId xmlns:a16="http://schemas.microsoft.com/office/drawing/2014/main" id="{00000000-0008-0000-3200-00001C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672</xdr:row>
      <xdr:rowOff>28440</xdr:rowOff>
    </xdr:from>
    <xdr:to>
      <xdr:col>7</xdr:col>
      <xdr:colOff>-363960</xdr:colOff>
      <xdr:row>673</xdr:row>
      <xdr:rowOff>0</xdr:rowOff>
    </xdr:to>
    <xdr:sp macro="" textlink="">
      <xdr:nvSpPr>
        <xdr:cNvPr id="3357" name="Option Button 3356">
          <a:extLst>
            <a:ext uri="{FF2B5EF4-FFF2-40B4-BE49-F238E27FC236}">
              <a16:creationId xmlns:a16="http://schemas.microsoft.com/office/drawing/2014/main" id="{00000000-0008-0000-3200-00001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8" name="Option Button 3357">
          <a:extLst>
            <a:ext uri="{FF2B5EF4-FFF2-40B4-BE49-F238E27FC236}">
              <a16:creationId xmlns:a16="http://schemas.microsoft.com/office/drawing/2014/main" id="{00000000-0008-0000-3200-00001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9" name="Option Button 3358">
          <a:extLst>
            <a:ext uri="{FF2B5EF4-FFF2-40B4-BE49-F238E27FC236}">
              <a16:creationId xmlns:a16="http://schemas.microsoft.com/office/drawing/2014/main" id="{00000000-0008-0000-3200-00001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0" name="Option Button 3359">
          <a:extLst>
            <a:ext uri="{FF2B5EF4-FFF2-40B4-BE49-F238E27FC236}">
              <a16:creationId xmlns:a16="http://schemas.microsoft.com/office/drawing/2014/main" id="{00000000-0008-0000-3200-00002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1" name="Group Box 3360" descr="Group Box 5">
          <a:extLst>
            <a:ext uri="{FF2B5EF4-FFF2-40B4-BE49-F238E27FC236}">
              <a16:creationId xmlns:a16="http://schemas.microsoft.com/office/drawing/2014/main" id="{00000000-0008-0000-3200-000021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673</xdr:row>
      <xdr:rowOff>28440</xdr:rowOff>
    </xdr:from>
    <xdr:to>
      <xdr:col>7</xdr:col>
      <xdr:colOff>-363960</xdr:colOff>
      <xdr:row>674</xdr:row>
      <xdr:rowOff>0</xdr:rowOff>
    </xdr:to>
    <xdr:sp macro="" textlink="">
      <xdr:nvSpPr>
        <xdr:cNvPr id="3362" name="Option Button 3361">
          <a:extLst>
            <a:ext uri="{FF2B5EF4-FFF2-40B4-BE49-F238E27FC236}">
              <a16:creationId xmlns:a16="http://schemas.microsoft.com/office/drawing/2014/main" id="{00000000-0008-0000-3200-00002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3" name="Option Button 3362">
          <a:extLst>
            <a:ext uri="{FF2B5EF4-FFF2-40B4-BE49-F238E27FC236}">
              <a16:creationId xmlns:a16="http://schemas.microsoft.com/office/drawing/2014/main" id="{00000000-0008-0000-3200-00002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4" name="Option Button 3363">
          <a:extLst>
            <a:ext uri="{FF2B5EF4-FFF2-40B4-BE49-F238E27FC236}">
              <a16:creationId xmlns:a16="http://schemas.microsoft.com/office/drawing/2014/main" id="{00000000-0008-0000-3200-00002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5" name="Option Button 3364">
          <a:extLst>
            <a:ext uri="{FF2B5EF4-FFF2-40B4-BE49-F238E27FC236}">
              <a16:creationId xmlns:a16="http://schemas.microsoft.com/office/drawing/2014/main" id="{00000000-0008-0000-3200-00002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6" name="Group Box 3365" descr="Group Box 5">
          <a:extLst>
            <a:ext uri="{FF2B5EF4-FFF2-40B4-BE49-F238E27FC236}">
              <a16:creationId xmlns:a16="http://schemas.microsoft.com/office/drawing/2014/main" id="{00000000-0008-0000-3200-000026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674</xdr:row>
      <xdr:rowOff>28440</xdr:rowOff>
    </xdr:from>
    <xdr:to>
      <xdr:col>7</xdr:col>
      <xdr:colOff>-363960</xdr:colOff>
      <xdr:row>675</xdr:row>
      <xdr:rowOff>0</xdr:rowOff>
    </xdr:to>
    <xdr:sp macro="" textlink="">
      <xdr:nvSpPr>
        <xdr:cNvPr id="3367" name="Option Button 3366">
          <a:extLst>
            <a:ext uri="{FF2B5EF4-FFF2-40B4-BE49-F238E27FC236}">
              <a16:creationId xmlns:a16="http://schemas.microsoft.com/office/drawing/2014/main" id="{00000000-0008-0000-3200-00002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8" name="Option Button 3367">
          <a:extLst>
            <a:ext uri="{FF2B5EF4-FFF2-40B4-BE49-F238E27FC236}">
              <a16:creationId xmlns:a16="http://schemas.microsoft.com/office/drawing/2014/main" id="{00000000-0008-0000-3200-00002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9" name="Option Button 3368">
          <a:extLst>
            <a:ext uri="{FF2B5EF4-FFF2-40B4-BE49-F238E27FC236}">
              <a16:creationId xmlns:a16="http://schemas.microsoft.com/office/drawing/2014/main" id="{00000000-0008-0000-3200-00002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0" name="Option Button 3369">
          <a:extLst>
            <a:ext uri="{FF2B5EF4-FFF2-40B4-BE49-F238E27FC236}">
              <a16:creationId xmlns:a16="http://schemas.microsoft.com/office/drawing/2014/main" id="{00000000-0008-0000-3200-00002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1" name="Group Box 3370" descr="Group Box 5">
          <a:extLst>
            <a:ext uri="{FF2B5EF4-FFF2-40B4-BE49-F238E27FC236}">
              <a16:creationId xmlns:a16="http://schemas.microsoft.com/office/drawing/2014/main" id="{00000000-0008-0000-3200-00002B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675</xdr:row>
      <xdr:rowOff>28440</xdr:rowOff>
    </xdr:from>
    <xdr:to>
      <xdr:col>7</xdr:col>
      <xdr:colOff>-363960</xdr:colOff>
      <xdr:row>676</xdr:row>
      <xdr:rowOff>0</xdr:rowOff>
    </xdr:to>
    <xdr:sp macro="" textlink="">
      <xdr:nvSpPr>
        <xdr:cNvPr id="3372" name="Option Button 3371">
          <a:extLst>
            <a:ext uri="{FF2B5EF4-FFF2-40B4-BE49-F238E27FC236}">
              <a16:creationId xmlns:a16="http://schemas.microsoft.com/office/drawing/2014/main" id="{00000000-0008-0000-3200-00002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3" name="Option Button 3372">
          <a:extLst>
            <a:ext uri="{FF2B5EF4-FFF2-40B4-BE49-F238E27FC236}">
              <a16:creationId xmlns:a16="http://schemas.microsoft.com/office/drawing/2014/main" id="{00000000-0008-0000-3200-00002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4" name="Option Button 3373">
          <a:extLst>
            <a:ext uri="{FF2B5EF4-FFF2-40B4-BE49-F238E27FC236}">
              <a16:creationId xmlns:a16="http://schemas.microsoft.com/office/drawing/2014/main" id="{00000000-0008-0000-3200-00002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5" name="Option Button 3374">
          <a:extLst>
            <a:ext uri="{FF2B5EF4-FFF2-40B4-BE49-F238E27FC236}">
              <a16:creationId xmlns:a16="http://schemas.microsoft.com/office/drawing/2014/main" id="{00000000-0008-0000-3200-00002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6" name="Group Box 3375" descr="Group Box 5">
          <a:extLst>
            <a:ext uri="{FF2B5EF4-FFF2-40B4-BE49-F238E27FC236}">
              <a16:creationId xmlns:a16="http://schemas.microsoft.com/office/drawing/2014/main" id="{00000000-0008-0000-3200-000030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676</xdr:row>
      <xdr:rowOff>28440</xdr:rowOff>
    </xdr:from>
    <xdr:to>
      <xdr:col>7</xdr:col>
      <xdr:colOff>-363960</xdr:colOff>
      <xdr:row>677</xdr:row>
      <xdr:rowOff>0</xdr:rowOff>
    </xdr:to>
    <xdr:sp macro="" textlink="">
      <xdr:nvSpPr>
        <xdr:cNvPr id="3377" name="Option Button 3376">
          <a:extLst>
            <a:ext uri="{FF2B5EF4-FFF2-40B4-BE49-F238E27FC236}">
              <a16:creationId xmlns:a16="http://schemas.microsoft.com/office/drawing/2014/main" id="{00000000-0008-0000-3200-00003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8" name="Option Button 3377">
          <a:extLst>
            <a:ext uri="{FF2B5EF4-FFF2-40B4-BE49-F238E27FC236}">
              <a16:creationId xmlns:a16="http://schemas.microsoft.com/office/drawing/2014/main" id="{00000000-0008-0000-3200-00003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9" name="Option Button 3378">
          <a:extLst>
            <a:ext uri="{FF2B5EF4-FFF2-40B4-BE49-F238E27FC236}">
              <a16:creationId xmlns:a16="http://schemas.microsoft.com/office/drawing/2014/main" id="{00000000-0008-0000-3200-00003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0" name="Option Button 3379">
          <a:extLst>
            <a:ext uri="{FF2B5EF4-FFF2-40B4-BE49-F238E27FC236}">
              <a16:creationId xmlns:a16="http://schemas.microsoft.com/office/drawing/2014/main" id="{00000000-0008-0000-3200-00003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1" name="Group Box 3380" descr="Group Box 5">
          <a:extLst>
            <a:ext uri="{FF2B5EF4-FFF2-40B4-BE49-F238E27FC236}">
              <a16:creationId xmlns:a16="http://schemas.microsoft.com/office/drawing/2014/main" id="{00000000-0008-0000-3200-000035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677</xdr:row>
      <xdr:rowOff>28440</xdr:rowOff>
    </xdr:from>
    <xdr:to>
      <xdr:col>7</xdr:col>
      <xdr:colOff>-363960</xdr:colOff>
      <xdr:row>678</xdr:row>
      <xdr:rowOff>0</xdr:rowOff>
    </xdr:to>
    <xdr:sp macro="" textlink="">
      <xdr:nvSpPr>
        <xdr:cNvPr id="3382" name="Option Button 3381">
          <a:extLst>
            <a:ext uri="{FF2B5EF4-FFF2-40B4-BE49-F238E27FC236}">
              <a16:creationId xmlns:a16="http://schemas.microsoft.com/office/drawing/2014/main" id="{00000000-0008-0000-3200-00003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3" name="Option Button 3382">
          <a:extLst>
            <a:ext uri="{FF2B5EF4-FFF2-40B4-BE49-F238E27FC236}">
              <a16:creationId xmlns:a16="http://schemas.microsoft.com/office/drawing/2014/main" id="{00000000-0008-0000-3200-00003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4" name="Option Button 3383">
          <a:extLst>
            <a:ext uri="{FF2B5EF4-FFF2-40B4-BE49-F238E27FC236}">
              <a16:creationId xmlns:a16="http://schemas.microsoft.com/office/drawing/2014/main" id="{00000000-0008-0000-3200-00003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5" name="Option Button 3384">
          <a:extLst>
            <a:ext uri="{FF2B5EF4-FFF2-40B4-BE49-F238E27FC236}">
              <a16:creationId xmlns:a16="http://schemas.microsoft.com/office/drawing/2014/main" id="{00000000-0008-0000-3200-00003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6" name="Group Box 3385" descr="Group Box 5">
          <a:extLst>
            <a:ext uri="{FF2B5EF4-FFF2-40B4-BE49-F238E27FC236}">
              <a16:creationId xmlns:a16="http://schemas.microsoft.com/office/drawing/2014/main" id="{00000000-0008-0000-3200-00003A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678</xdr:row>
      <xdr:rowOff>28440</xdr:rowOff>
    </xdr:from>
    <xdr:to>
      <xdr:col>7</xdr:col>
      <xdr:colOff>-363960</xdr:colOff>
      <xdr:row>679</xdr:row>
      <xdr:rowOff>0</xdr:rowOff>
    </xdr:to>
    <xdr:sp macro="" textlink="">
      <xdr:nvSpPr>
        <xdr:cNvPr id="3387" name="Option Button 3386">
          <a:extLst>
            <a:ext uri="{FF2B5EF4-FFF2-40B4-BE49-F238E27FC236}">
              <a16:creationId xmlns:a16="http://schemas.microsoft.com/office/drawing/2014/main" id="{00000000-0008-0000-3200-00003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8" name="Option Button 3387">
          <a:extLst>
            <a:ext uri="{FF2B5EF4-FFF2-40B4-BE49-F238E27FC236}">
              <a16:creationId xmlns:a16="http://schemas.microsoft.com/office/drawing/2014/main" id="{00000000-0008-0000-3200-00003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9" name="Option Button 3388">
          <a:extLst>
            <a:ext uri="{FF2B5EF4-FFF2-40B4-BE49-F238E27FC236}">
              <a16:creationId xmlns:a16="http://schemas.microsoft.com/office/drawing/2014/main" id="{00000000-0008-0000-3200-00003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0" name="Option Button 3389">
          <a:extLst>
            <a:ext uri="{FF2B5EF4-FFF2-40B4-BE49-F238E27FC236}">
              <a16:creationId xmlns:a16="http://schemas.microsoft.com/office/drawing/2014/main" id="{00000000-0008-0000-3200-00003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1" name="Group Box 3390" descr="Group Box 5">
          <a:extLst>
            <a:ext uri="{FF2B5EF4-FFF2-40B4-BE49-F238E27FC236}">
              <a16:creationId xmlns:a16="http://schemas.microsoft.com/office/drawing/2014/main" id="{00000000-0008-0000-3200-00003F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679</xdr:row>
      <xdr:rowOff>28440</xdr:rowOff>
    </xdr:from>
    <xdr:to>
      <xdr:col>7</xdr:col>
      <xdr:colOff>-363960</xdr:colOff>
      <xdr:row>680</xdr:row>
      <xdr:rowOff>0</xdr:rowOff>
    </xdr:to>
    <xdr:sp macro="" textlink="">
      <xdr:nvSpPr>
        <xdr:cNvPr id="3392" name="Option Button 3391">
          <a:extLst>
            <a:ext uri="{FF2B5EF4-FFF2-40B4-BE49-F238E27FC236}">
              <a16:creationId xmlns:a16="http://schemas.microsoft.com/office/drawing/2014/main" id="{00000000-0008-0000-3200-00004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3" name="Option Button 3392">
          <a:extLst>
            <a:ext uri="{FF2B5EF4-FFF2-40B4-BE49-F238E27FC236}">
              <a16:creationId xmlns:a16="http://schemas.microsoft.com/office/drawing/2014/main" id="{00000000-0008-0000-3200-00004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4" name="Option Button 3393">
          <a:extLst>
            <a:ext uri="{FF2B5EF4-FFF2-40B4-BE49-F238E27FC236}">
              <a16:creationId xmlns:a16="http://schemas.microsoft.com/office/drawing/2014/main" id="{00000000-0008-0000-3200-00004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5" name="Option Button 3394">
          <a:extLst>
            <a:ext uri="{FF2B5EF4-FFF2-40B4-BE49-F238E27FC236}">
              <a16:creationId xmlns:a16="http://schemas.microsoft.com/office/drawing/2014/main" id="{00000000-0008-0000-3200-00004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6" name="Group Box 3395" descr="Group Box 5">
          <a:extLst>
            <a:ext uri="{FF2B5EF4-FFF2-40B4-BE49-F238E27FC236}">
              <a16:creationId xmlns:a16="http://schemas.microsoft.com/office/drawing/2014/main" id="{00000000-0008-0000-3200-000044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680</xdr:row>
      <xdr:rowOff>28440</xdr:rowOff>
    </xdr:from>
    <xdr:to>
      <xdr:col>7</xdr:col>
      <xdr:colOff>-363960</xdr:colOff>
      <xdr:row>681</xdr:row>
      <xdr:rowOff>0</xdr:rowOff>
    </xdr:to>
    <xdr:sp macro="" textlink="">
      <xdr:nvSpPr>
        <xdr:cNvPr id="3397" name="Option Button 3396">
          <a:extLst>
            <a:ext uri="{FF2B5EF4-FFF2-40B4-BE49-F238E27FC236}">
              <a16:creationId xmlns:a16="http://schemas.microsoft.com/office/drawing/2014/main" id="{00000000-0008-0000-3200-00004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8" name="Option Button 3397">
          <a:extLst>
            <a:ext uri="{FF2B5EF4-FFF2-40B4-BE49-F238E27FC236}">
              <a16:creationId xmlns:a16="http://schemas.microsoft.com/office/drawing/2014/main" id="{00000000-0008-0000-3200-00004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9" name="Option Button 3398">
          <a:extLst>
            <a:ext uri="{FF2B5EF4-FFF2-40B4-BE49-F238E27FC236}">
              <a16:creationId xmlns:a16="http://schemas.microsoft.com/office/drawing/2014/main" id="{00000000-0008-0000-3200-00004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0" name="Option Button 3399">
          <a:extLst>
            <a:ext uri="{FF2B5EF4-FFF2-40B4-BE49-F238E27FC236}">
              <a16:creationId xmlns:a16="http://schemas.microsoft.com/office/drawing/2014/main" id="{00000000-0008-0000-3200-00004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1" name="Group Box 3400" descr="Group Box 5">
          <a:extLst>
            <a:ext uri="{FF2B5EF4-FFF2-40B4-BE49-F238E27FC236}">
              <a16:creationId xmlns:a16="http://schemas.microsoft.com/office/drawing/2014/main" id="{00000000-0008-0000-3200-000049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681</xdr:row>
      <xdr:rowOff>28440</xdr:rowOff>
    </xdr:from>
    <xdr:to>
      <xdr:col>7</xdr:col>
      <xdr:colOff>-363960</xdr:colOff>
      <xdr:row>682</xdr:row>
      <xdr:rowOff>0</xdr:rowOff>
    </xdr:to>
    <xdr:sp macro="" textlink="">
      <xdr:nvSpPr>
        <xdr:cNvPr id="3402" name="Option Button 3401">
          <a:extLst>
            <a:ext uri="{FF2B5EF4-FFF2-40B4-BE49-F238E27FC236}">
              <a16:creationId xmlns:a16="http://schemas.microsoft.com/office/drawing/2014/main" id="{00000000-0008-0000-3200-00004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3" name="Option Button 3402">
          <a:extLst>
            <a:ext uri="{FF2B5EF4-FFF2-40B4-BE49-F238E27FC236}">
              <a16:creationId xmlns:a16="http://schemas.microsoft.com/office/drawing/2014/main" id="{00000000-0008-0000-3200-00004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4" name="Option Button 3403">
          <a:extLst>
            <a:ext uri="{FF2B5EF4-FFF2-40B4-BE49-F238E27FC236}">
              <a16:creationId xmlns:a16="http://schemas.microsoft.com/office/drawing/2014/main" id="{00000000-0008-0000-3200-00004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5" name="Option Button 3404">
          <a:extLst>
            <a:ext uri="{FF2B5EF4-FFF2-40B4-BE49-F238E27FC236}">
              <a16:creationId xmlns:a16="http://schemas.microsoft.com/office/drawing/2014/main" id="{00000000-0008-0000-3200-00004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6" name="Group Box 3405" descr="Group Box 5">
          <a:extLst>
            <a:ext uri="{FF2B5EF4-FFF2-40B4-BE49-F238E27FC236}">
              <a16:creationId xmlns:a16="http://schemas.microsoft.com/office/drawing/2014/main" id="{00000000-0008-0000-3200-00004E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682</xdr:row>
      <xdr:rowOff>28440</xdr:rowOff>
    </xdr:from>
    <xdr:to>
      <xdr:col>7</xdr:col>
      <xdr:colOff>-363960</xdr:colOff>
      <xdr:row>683</xdr:row>
      <xdr:rowOff>0</xdr:rowOff>
    </xdr:to>
    <xdr:sp macro="" textlink="">
      <xdr:nvSpPr>
        <xdr:cNvPr id="3407" name="Option Button 3406">
          <a:extLst>
            <a:ext uri="{FF2B5EF4-FFF2-40B4-BE49-F238E27FC236}">
              <a16:creationId xmlns:a16="http://schemas.microsoft.com/office/drawing/2014/main" id="{00000000-0008-0000-3200-00004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8" name="Option Button 3407">
          <a:extLst>
            <a:ext uri="{FF2B5EF4-FFF2-40B4-BE49-F238E27FC236}">
              <a16:creationId xmlns:a16="http://schemas.microsoft.com/office/drawing/2014/main" id="{00000000-0008-0000-3200-00005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9" name="Option Button 3408">
          <a:extLst>
            <a:ext uri="{FF2B5EF4-FFF2-40B4-BE49-F238E27FC236}">
              <a16:creationId xmlns:a16="http://schemas.microsoft.com/office/drawing/2014/main" id="{00000000-0008-0000-3200-00005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0" name="Option Button 3409">
          <a:extLst>
            <a:ext uri="{FF2B5EF4-FFF2-40B4-BE49-F238E27FC236}">
              <a16:creationId xmlns:a16="http://schemas.microsoft.com/office/drawing/2014/main" id="{00000000-0008-0000-3200-00005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1" name="Group Box 3410" descr="Group Box 5">
          <a:extLst>
            <a:ext uri="{FF2B5EF4-FFF2-40B4-BE49-F238E27FC236}">
              <a16:creationId xmlns:a16="http://schemas.microsoft.com/office/drawing/2014/main" id="{00000000-0008-0000-3200-000053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683</xdr:row>
      <xdr:rowOff>28440</xdr:rowOff>
    </xdr:from>
    <xdr:to>
      <xdr:col>7</xdr:col>
      <xdr:colOff>-363960</xdr:colOff>
      <xdr:row>684</xdr:row>
      <xdr:rowOff>0</xdr:rowOff>
    </xdr:to>
    <xdr:sp macro="" textlink="">
      <xdr:nvSpPr>
        <xdr:cNvPr id="3412" name="Option Button 3411">
          <a:extLst>
            <a:ext uri="{FF2B5EF4-FFF2-40B4-BE49-F238E27FC236}">
              <a16:creationId xmlns:a16="http://schemas.microsoft.com/office/drawing/2014/main" id="{00000000-0008-0000-3200-00005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3" name="Option Button 3412">
          <a:extLst>
            <a:ext uri="{FF2B5EF4-FFF2-40B4-BE49-F238E27FC236}">
              <a16:creationId xmlns:a16="http://schemas.microsoft.com/office/drawing/2014/main" id="{00000000-0008-0000-3200-00005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4" name="Option Button 3413">
          <a:extLst>
            <a:ext uri="{FF2B5EF4-FFF2-40B4-BE49-F238E27FC236}">
              <a16:creationId xmlns:a16="http://schemas.microsoft.com/office/drawing/2014/main" id="{00000000-0008-0000-3200-00005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5" name="Option Button 3414">
          <a:extLst>
            <a:ext uri="{FF2B5EF4-FFF2-40B4-BE49-F238E27FC236}">
              <a16:creationId xmlns:a16="http://schemas.microsoft.com/office/drawing/2014/main" id="{00000000-0008-0000-3200-00005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6" name="Group Box 3415" descr="Group Box 5">
          <a:extLst>
            <a:ext uri="{FF2B5EF4-FFF2-40B4-BE49-F238E27FC236}">
              <a16:creationId xmlns:a16="http://schemas.microsoft.com/office/drawing/2014/main" id="{00000000-0008-0000-3200-000058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684</xdr:row>
      <xdr:rowOff>28440</xdr:rowOff>
    </xdr:from>
    <xdr:to>
      <xdr:col>7</xdr:col>
      <xdr:colOff>-363960</xdr:colOff>
      <xdr:row>685</xdr:row>
      <xdr:rowOff>0</xdr:rowOff>
    </xdr:to>
    <xdr:sp macro="" textlink="">
      <xdr:nvSpPr>
        <xdr:cNvPr id="3417" name="Option Button 3416">
          <a:extLst>
            <a:ext uri="{FF2B5EF4-FFF2-40B4-BE49-F238E27FC236}">
              <a16:creationId xmlns:a16="http://schemas.microsoft.com/office/drawing/2014/main" id="{00000000-0008-0000-3200-00005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8" name="Option Button 3417">
          <a:extLst>
            <a:ext uri="{FF2B5EF4-FFF2-40B4-BE49-F238E27FC236}">
              <a16:creationId xmlns:a16="http://schemas.microsoft.com/office/drawing/2014/main" id="{00000000-0008-0000-3200-00005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9" name="Option Button 3418">
          <a:extLst>
            <a:ext uri="{FF2B5EF4-FFF2-40B4-BE49-F238E27FC236}">
              <a16:creationId xmlns:a16="http://schemas.microsoft.com/office/drawing/2014/main" id="{00000000-0008-0000-3200-00005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0" name="Option Button 3419">
          <a:extLst>
            <a:ext uri="{FF2B5EF4-FFF2-40B4-BE49-F238E27FC236}">
              <a16:creationId xmlns:a16="http://schemas.microsoft.com/office/drawing/2014/main" id="{00000000-0008-0000-3200-00005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1" name="Group Box 3420" descr="Group Box 5">
          <a:extLst>
            <a:ext uri="{FF2B5EF4-FFF2-40B4-BE49-F238E27FC236}">
              <a16:creationId xmlns:a16="http://schemas.microsoft.com/office/drawing/2014/main" id="{00000000-0008-0000-3200-00005D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685</xdr:row>
      <xdr:rowOff>28440</xdr:rowOff>
    </xdr:from>
    <xdr:to>
      <xdr:col>7</xdr:col>
      <xdr:colOff>-363960</xdr:colOff>
      <xdr:row>686</xdr:row>
      <xdr:rowOff>0</xdr:rowOff>
    </xdr:to>
    <xdr:sp macro="" textlink="">
      <xdr:nvSpPr>
        <xdr:cNvPr id="3422" name="Option Button 3421">
          <a:extLst>
            <a:ext uri="{FF2B5EF4-FFF2-40B4-BE49-F238E27FC236}">
              <a16:creationId xmlns:a16="http://schemas.microsoft.com/office/drawing/2014/main" id="{00000000-0008-0000-3200-00005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3" name="Option Button 3422">
          <a:extLst>
            <a:ext uri="{FF2B5EF4-FFF2-40B4-BE49-F238E27FC236}">
              <a16:creationId xmlns:a16="http://schemas.microsoft.com/office/drawing/2014/main" id="{00000000-0008-0000-3200-00005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4" name="Option Button 3423">
          <a:extLst>
            <a:ext uri="{FF2B5EF4-FFF2-40B4-BE49-F238E27FC236}">
              <a16:creationId xmlns:a16="http://schemas.microsoft.com/office/drawing/2014/main" id="{00000000-0008-0000-3200-00006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5" name="Option Button 3424">
          <a:extLst>
            <a:ext uri="{FF2B5EF4-FFF2-40B4-BE49-F238E27FC236}">
              <a16:creationId xmlns:a16="http://schemas.microsoft.com/office/drawing/2014/main" id="{00000000-0008-0000-3200-00006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6" name="Group Box 3425" descr="Group Box 5">
          <a:extLst>
            <a:ext uri="{FF2B5EF4-FFF2-40B4-BE49-F238E27FC236}">
              <a16:creationId xmlns:a16="http://schemas.microsoft.com/office/drawing/2014/main" id="{00000000-0008-0000-3200-000062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686</xdr:row>
      <xdr:rowOff>28440</xdr:rowOff>
    </xdr:from>
    <xdr:to>
      <xdr:col>7</xdr:col>
      <xdr:colOff>-363960</xdr:colOff>
      <xdr:row>687</xdr:row>
      <xdr:rowOff>0</xdr:rowOff>
    </xdr:to>
    <xdr:sp macro="" textlink="">
      <xdr:nvSpPr>
        <xdr:cNvPr id="3427" name="Option Button 3426">
          <a:extLst>
            <a:ext uri="{FF2B5EF4-FFF2-40B4-BE49-F238E27FC236}">
              <a16:creationId xmlns:a16="http://schemas.microsoft.com/office/drawing/2014/main" id="{00000000-0008-0000-3200-00006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8" name="Option Button 3427">
          <a:extLst>
            <a:ext uri="{FF2B5EF4-FFF2-40B4-BE49-F238E27FC236}">
              <a16:creationId xmlns:a16="http://schemas.microsoft.com/office/drawing/2014/main" id="{00000000-0008-0000-3200-00006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9" name="Option Button 3428">
          <a:extLst>
            <a:ext uri="{FF2B5EF4-FFF2-40B4-BE49-F238E27FC236}">
              <a16:creationId xmlns:a16="http://schemas.microsoft.com/office/drawing/2014/main" id="{00000000-0008-0000-3200-00006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0" name="Option Button 3429">
          <a:extLst>
            <a:ext uri="{FF2B5EF4-FFF2-40B4-BE49-F238E27FC236}">
              <a16:creationId xmlns:a16="http://schemas.microsoft.com/office/drawing/2014/main" id="{00000000-0008-0000-3200-00006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1" name="Group Box 3430" descr="Group Box 5">
          <a:extLst>
            <a:ext uri="{FF2B5EF4-FFF2-40B4-BE49-F238E27FC236}">
              <a16:creationId xmlns:a16="http://schemas.microsoft.com/office/drawing/2014/main" id="{00000000-0008-0000-3200-000067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687</xdr:row>
      <xdr:rowOff>28440</xdr:rowOff>
    </xdr:from>
    <xdr:to>
      <xdr:col>7</xdr:col>
      <xdr:colOff>-363960</xdr:colOff>
      <xdr:row>688</xdr:row>
      <xdr:rowOff>0</xdr:rowOff>
    </xdr:to>
    <xdr:sp macro="" textlink="">
      <xdr:nvSpPr>
        <xdr:cNvPr id="3432" name="Option Button 3431">
          <a:extLst>
            <a:ext uri="{FF2B5EF4-FFF2-40B4-BE49-F238E27FC236}">
              <a16:creationId xmlns:a16="http://schemas.microsoft.com/office/drawing/2014/main" id="{00000000-0008-0000-3200-00006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3" name="Option Button 3432">
          <a:extLst>
            <a:ext uri="{FF2B5EF4-FFF2-40B4-BE49-F238E27FC236}">
              <a16:creationId xmlns:a16="http://schemas.microsoft.com/office/drawing/2014/main" id="{00000000-0008-0000-3200-00006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4" name="Option Button 3433">
          <a:extLst>
            <a:ext uri="{FF2B5EF4-FFF2-40B4-BE49-F238E27FC236}">
              <a16:creationId xmlns:a16="http://schemas.microsoft.com/office/drawing/2014/main" id="{00000000-0008-0000-3200-00006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5" name="Option Button 3434">
          <a:extLst>
            <a:ext uri="{FF2B5EF4-FFF2-40B4-BE49-F238E27FC236}">
              <a16:creationId xmlns:a16="http://schemas.microsoft.com/office/drawing/2014/main" id="{00000000-0008-0000-3200-00006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6" name="Group Box 3435" descr="Group Box 5">
          <a:extLst>
            <a:ext uri="{FF2B5EF4-FFF2-40B4-BE49-F238E27FC236}">
              <a16:creationId xmlns:a16="http://schemas.microsoft.com/office/drawing/2014/main" id="{00000000-0008-0000-3200-00006C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688</xdr:row>
      <xdr:rowOff>28440</xdr:rowOff>
    </xdr:from>
    <xdr:to>
      <xdr:col>7</xdr:col>
      <xdr:colOff>-363960</xdr:colOff>
      <xdr:row>689</xdr:row>
      <xdr:rowOff>0</xdr:rowOff>
    </xdr:to>
    <xdr:sp macro="" textlink="">
      <xdr:nvSpPr>
        <xdr:cNvPr id="3437" name="Option Button 3436">
          <a:extLst>
            <a:ext uri="{FF2B5EF4-FFF2-40B4-BE49-F238E27FC236}">
              <a16:creationId xmlns:a16="http://schemas.microsoft.com/office/drawing/2014/main" id="{00000000-0008-0000-3200-00006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8" name="Option Button 3437">
          <a:extLst>
            <a:ext uri="{FF2B5EF4-FFF2-40B4-BE49-F238E27FC236}">
              <a16:creationId xmlns:a16="http://schemas.microsoft.com/office/drawing/2014/main" id="{00000000-0008-0000-3200-00006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9" name="Option Button 3438">
          <a:extLst>
            <a:ext uri="{FF2B5EF4-FFF2-40B4-BE49-F238E27FC236}">
              <a16:creationId xmlns:a16="http://schemas.microsoft.com/office/drawing/2014/main" id="{00000000-0008-0000-3200-00006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0" name="Option Button 3439">
          <a:extLst>
            <a:ext uri="{FF2B5EF4-FFF2-40B4-BE49-F238E27FC236}">
              <a16:creationId xmlns:a16="http://schemas.microsoft.com/office/drawing/2014/main" id="{00000000-0008-0000-3200-00007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1" name="Group Box 3440" descr="Group Box 5">
          <a:extLst>
            <a:ext uri="{FF2B5EF4-FFF2-40B4-BE49-F238E27FC236}">
              <a16:creationId xmlns:a16="http://schemas.microsoft.com/office/drawing/2014/main" id="{00000000-0008-0000-3200-000071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689</xdr:row>
      <xdr:rowOff>28440</xdr:rowOff>
    </xdr:from>
    <xdr:to>
      <xdr:col>7</xdr:col>
      <xdr:colOff>-363960</xdr:colOff>
      <xdr:row>690</xdr:row>
      <xdr:rowOff>0</xdr:rowOff>
    </xdr:to>
    <xdr:sp macro="" textlink="">
      <xdr:nvSpPr>
        <xdr:cNvPr id="3442" name="Option Button 3441">
          <a:extLst>
            <a:ext uri="{FF2B5EF4-FFF2-40B4-BE49-F238E27FC236}">
              <a16:creationId xmlns:a16="http://schemas.microsoft.com/office/drawing/2014/main" id="{00000000-0008-0000-3200-00007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3" name="Option Button 3442">
          <a:extLst>
            <a:ext uri="{FF2B5EF4-FFF2-40B4-BE49-F238E27FC236}">
              <a16:creationId xmlns:a16="http://schemas.microsoft.com/office/drawing/2014/main" id="{00000000-0008-0000-3200-00007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4" name="Option Button 3443">
          <a:extLst>
            <a:ext uri="{FF2B5EF4-FFF2-40B4-BE49-F238E27FC236}">
              <a16:creationId xmlns:a16="http://schemas.microsoft.com/office/drawing/2014/main" id="{00000000-0008-0000-3200-00007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5" name="Option Button 3444">
          <a:extLst>
            <a:ext uri="{FF2B5EF4-FFF2-40B4-BE49-F238E27FC236}">
              <a16:creationId xmlns:a16="http://schemas.microsoft.com/office/drawing/2014/main" id="{00000000-0008-0000-3200-00007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6" name="Group Box 3445" descr="Group Box 5">
          <a:extLst>
            <a:ext uri="{FF2B5EF4-FFF2-40B4-BE49-F238E27FC236}">
              <a16:creationId xmlns:a16="http://schemas.microsoft.com/office/drawing/2014/main" id="{00000000-0008-0000-3200-000076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690</xdr:row>
      <xdr:rowOff>28440</xdr:rowOff>
    </xdr:from>
    <xdr:to>
      <xdr:col>7</xdr:col>
      <xdr:colOff>-363960</xdr:colOff>
      <xdr:row>691</xdr:row>
      <xdr:rowOff>0</xdr:rowOff>
    </xdr:to>
    <xdr:sp macro="" textlink="">
      <xdr:nvSpPr>
        <xdr:cNvPr id="3447" name="Option Button 3446">
          <a:extLst>
            <a:ext uri="{FF2B5EF4-FFF2-40B4-BE49-F238E27FC236}">
              <a16:creationId xmlns:a16="http://schemas.microsoft.com/office/drawing/2014/main" id="{00000000-0008-0000-3200-00007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8" name="Option Button 3447">
          <a:extLst>
            <a:ext uri="{FF2B5EF4-FFF2-40B4-BE49-F238E27FC236}">
              <a16:creationId xmlns:a16="http://schemas.microsoft.com/office/drawing/2014/main" id="{00000000-0008-0000-3200-00007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9" name="Option Button 3448">
          <a:extLst>
            <a:ext uri="{FF2B5EF4-FFF2-40B4-BE49-F238E27FC236}">
              <a16:creationId xmlns:a16="http://schemas.microsoft.com/office/drawing/2014/main" id="{00000000-0008-0000-3200-00007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0" name="Option Button 3449">
          <a:extLst>
            <a:ext uri="{FF2B5EF4-FFF2-40B4-BE49-F238E27FC236}">
              <a16:creationId xmlns:a16="http://schemas.microsoft.com/office/drawing/2014/main" id="{00000000-0008-0000-3200-00007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1" name="Group Box 3450" descr="Group Box 5">
          <a:extLst>
            <a:ext uri="{FF2B5EF4-FFF2-40B4-BE49-F238E27FC236}">
              <a16:creationId xmlns:a16="http://schemas.microsoft.com/office/drawing/2014/main" id="{00000000-0008-0000-3200-00007B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691</xdr:row>
      <xdr:rowOff>28440</xdr:rowOff>
    </xdr:from>
    <xdr:to>
      <xdr:col>7</xdr:col>
      <xdr:colOff>-363960</xdr:colOff>
      <xdr:row>692</xdr:row>
      <xdr:rowOff>0</xdr:rowOff>
    </xdr:to>
    <xdr:sp macro="" textlink="">
      <xdr:nvSpPr>
        <xdr:cNvPr id="3452" name="Option Button 3451">
          <a:extLst>
            <a:ext uri="{FF2B5EF4-FFF2-40B4-BE49-F238E27FC236}">
              <a16:creationId xmlns:a16="http://schemas.microsoft.com/office/drawing/2014/main" id="{00000000-0008-0000-3200-00007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3" name="Option Button 3452">
          <a:extLst>
            <a:ext uri="{FF2B5EF4-FFF2-40B4-BE49-F238E27FC236}">
              <a16:creationId xmlns:a16="http://schemas.microsoft.com/office/drawing/2014/main" id="{00000000-0008-0000-3200-00007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4" name="Option Button 3453">
          <a:extLst>
            <a:ext uri="{FF2B5EF4-FFF2-40B4-BE49-F238E27FC236}">
              <a16:creationId xmlns:a16="http://schemas.microsoft.com/office/drawing/2014/main" id="{00000000-0008-0000-3200-00007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5" name="Option Button 3454">
          <a:extLst>
            <a:ext uri="{FF2B5EF4-FFF2-40B4-BE49-F238E27FC236}">
              <a16:creationId xmlns:a16="http://schemas.microsoft.com/office/drawing/2014/main" id="{00000000-0008-0000-3200-00007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6" name="Group Box 3455" descr="Group Box 5">
          <a:extLst>
            <a:ext uri="{FF2B5EF4-FFF2-40B4-BE49-F238E27FC236}">
              <a16:creationId xmlns:a16="http://schemas.microsoft.com/office/drawing/2014/main" id="{00000000-0008-0000-3200-000080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692</xdr:row>
      <xdr:rowOff>28440</xdr:rowOff>
    </xdr:from>
    <xdr:to>
      <xdr:col>7</xdr:col>
      <xdr:colOff>-363960</xdr:colOff>
      <xdr:row>693</xdr:row>
      <xdr:rowOff>0</xdr:rowOff>
    </xdr:to>
    <xdr:sp macro="" textlink="">
      <xdr:nvSpPr>
        <xdr:cNvPr id="3457" name="Option Button 3456">
          <a:extLst>
            <a:ext uri="{FF2B5EF4-FFF2-40B4-BE49-F238E27FC236}">
              <a16:creationId xmlns:a16="http://schemas.microsoft.com/office/drawing/2014/main" id="{00000000-0008-0000-3200-00008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8" name="Option Button 3457">
          <a:extLst>
            <a:ext uri="{FF2B5EF4-FFF2-40B4-BE49-F238E27FC236}">
              <a16:creationId xmlns:a16="http://schemas.microsoft.com/office/drawing/2014/main" id="{00000000-0008-0000-3200-00008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9" name="Option Button 3458">
          <a:extLst>
            <a:ext uri="{FF2B5EF4-FFF2-40B4-BE49-F238E27FC236}">
              <a16:creationId xmlns:a16="http://schemas.microsoft.com/office/drawing/2014/main" id="{00000000-0008-0000-3200-00008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0" name="Option Button 3459">
          <a:extLst>
            <a:ext uri="{FF2B5EF4-FFF2-40B4-BE49-F238E27FC236}">
              <a16:creationId xmlns:a16="http://schemas.microsoft.com/office/drawing/2014/main" id="{00000000-0008-0000-3200-00008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1" name="Group Box 3460" descr="Group Box 5">
          <a:extLst>
            <a:ext uri="{FF2B5EF4-FFF2-40B4-BE49-F238E27FC236}">
              <a16:creationId xmlns:a16="http://schemas.microsoft.com/office/drawing/2014/main" id="{00000000-0008-0000-3200-000085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693</xdr:row>
      <xdr:rowOff>28440</xdr:rowOff>
    </xdr:from>
    <xdr:to>
      <xdr:col>7</xdr:col>
      <xdr:colOff>-363960</xdr:colOff>
      <xdr:row>694</xdr:row>
      <xdr:rowOff>0</xdr:rowOff>
    </xdr:to>
    <xdr:sp macro="" textlink="">
      <xdr:nvSpPr>
        <xdr:cNvPr id="3462" name="Option Button 3461">
          <a:extLst>
            <a:ext uri="{FF2B5EF4-FFF2-40B4-BE49-F238E27FC236}">
              <a16:creationId xmlns:a16="http://schemas.microsoft.com/office/drawing/2014/main" id="{00000000-0008-0000-3200-00008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3" name="Option Button 3462">
          <a:extLst>
            <a:ext uri="{FF2B5EF4-FFF2-40B4-BE49-F238E27FC236}">
              <a16:creationId xmlns:a16="http://schemas.microsoft.com/office/drawing/2014/main" id="{00000000-0008-0000-3200-00008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4" name="Option Button 3463">
          <a:extLst>
            <a:ext uri="{FF2B5EF4-FFF2-40B4-BE49-F238E27FC236}">
              <a16:creationId xmlns:a16="http://schemas.microsoft.com/office/drawing/2014/main" id="{00000000-0008-0000-3200-00008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5" name="Option Button 3464">
          <a:extLst>
            <a:ext uri="{FF2B5EF4-FFF2-40B4-BE49-F238E27FC236}">
              <a16:creationId xmlns:a16="http://schemas.microsoft.com/office/drawing/2014/main" id="{00000000-0008-0000-3200-00008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6" name="Group Box 3465" descr="Group Box 5">
          <a:extLst>
            <a:ext uri="{FF2B5EF4-FFF2-40B4-BE49-F238E27FC236}">
              <a16:creationId xmlns:a16="http://schemas.microsoft.com/office/drawing/2014/main" id="{00000000-0008-0000-3200-00008A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694</xdr:row>
      <xdr:rowOff>28440</xdr:rowOff>
    </xdr:from>
    <xdr:to>
      <xdr:col>7</xdr:col>
      <xdr:colOff>-363960</xdr:colOff>
      <xdr:row>695</xdr:row>
      <xdr:rowOff>0</xdr:rowOff>
    </xdr:to>
    <xdr:sp macro="" textlink="">
      <xdr:nvSpPr>
        <xdr:cNvPr id="3467" name="Option Button 3466">
          <a:extLst>
            <a:ext uri="{FF2B5EF4-FFF2-40B4-BE49-F238E27FC236}">
              <a16:creationId xmlns:a16="http://schemas.microsoft.com/office/drawing/2014/main" id="{00000000-0008-0000-3200-00008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8" name="Option Button 3467">
          <a:extLst>
            <a:ext uri="{FF2B5EF4-FFF2-40B4-BE49-F238E27FC236}">
              <a16:creationId xmlns:a16="http://schemas.microsoft.com/office/drawing/2014/main" id="{00000000-0008-0000-3200-00008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9" name="Option Button 3468">
          <a:extLst>
            <a:ext uri="{FF2B5EF4-FFF2-40B4-BE49-F238E27FC236}">
              <a16:creationId xmlns:a16="http://schemas.microsoft.com/office/drawing/2014/main" id="{00000000-0008-0000-3200-00008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0" name="Option Button 3469">
          <a:extLst>
            <a:ext uri="{FF2B5EF4-FFF2-40B4-BE49-F238E27FC236}">
              <a16:creationId xmlns:a16="http://schemas.microsoft.com/office/drawing/2014/main" id="{00000000-0008-0000-3200-00008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1" name="Group Box 3470" descr="Group Box 5">
          <a:extLst>
            <a:ext uri="{FF2B5EF4-FFF2-40B4-BE49-F238E27FC236}">
              <a16:creationId xmlns:a16="http://schemas.microsoft.com/office/drawing/2014/main" id="{00000000-0008-0000-3200-00008F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695</xdr:row>
      <xdr:rowOff>28440</xdr:rowOff>
    </xdr:from>
    <xdr:to>
      <xdr:col>7</xdr:col>
      <xdr:colOff>-363960</xdr:colOff>
      <xdr:row>696</xdr:row>
      <xdr:rowOff>0</xdr:rowOff>
    </xdr:to>
    <xdr:sp macro="" textlink="">
      <xdr:nvSpPr>
        <xdr:cNvPr id="3472" name="Option Button 3471">
          <a:extLst>
            <a:ext uri="{FF2B5EF4-FFF2-40B4-BE49-F238E27FC236}">
              <a16:creationId xmlns:a16="http://schemas.microsoft.com/office/drawing/2014/main" id="{00000000-0008-0000-3200-00009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3" name="Option Button 3472">
          <a:extLst>
            <a:ext uri="{FF2B5EF4-FFF2-40B4-BE49-F238E27FC236}">
              <a16:creationId xmlns:a16="http://schemas.microsoft.com/office/drawing/2014/main" id="{00000000-0008-0000-3200-00009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4" name="Option Button 3473">
          <a:extLst>
            <a:ext uri="{FF2B5EF4-FFF2-40B4-BE49-F238E27FC236}">
              <a16:creationId xmlns:a16="http://schemas.microsoft.com/office/drawing/2014/main" id="{00000000-0008-0000-3200-00009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5" name="Option Button 3474">
          <a:extLst>
            <a:ext uri="{FF2B5EF4-FFF2-40B4-BE49-F238E27FC236}">
              <a16:creationId xmlns:a16="http://schemas.microsoft.com/office/drawing/2014/main" id="{00000000-0008-0000-3200-00009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6" name="Group Box 3475" descr="Group Box 5">
          <a:extLst>
            <a:ext uri="{FF2B5EF4-FFF2-40B4-BE49-F238E27FC236}">
              <a16:creationId xmlns:a16="http://schemas.microsoft.com/office/drawing/2014/main" id="{00000000-0008-0000-3200-000094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696</xdr:row>
      <xdr:rowOff>28440</xdr:rowOff>
    </xdr:from>
    <xdr:to>
      <xdr:col>7</xdr:col>
      <xdr:colOff>-363960</xdr:colOff>
      <xdr:row>697</xdr:row>
      <xdr:rowOff>0</xdr:rowOff>
    </xdr:to>
    <xdr:sp macro="" textlink="">
      <xdr:nvSpPr>
        <xdr:cNvPr id="3477" name="Option Button 3476">
          <a:extLst>
            <a:ext uri="{FF2B5EF4-FFF2-40B4-BE49-F238E27FC236}">
              <a16:creationId xmlns:a16="http://schemas.microsoft.com/office/drawing/2014/main" id="{00000000-0008-0000-3200-00009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8" name="Option Button 3477">
          <a:extLst>
            <a:ext uri="{FF2B5EF4-FFF2-40B4-BE49-F238E27FC236}">
              <a16:creationId xmlns:a16="http://schemas.microsoft.com/office/drawing/2014/main" id="{00000000-0008-0000-3200-00009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9" name="Option Button 3478">
          <a:extLst>
            <a:ext uri="{FF2B5EF4-FFF2-40B4-BE49-F238E27FC236}">
              <a16:creationId xmlns:a16="http://schemas.microsoft.com/office/drawing/2014/main" id="{00000000-0008-0000-3200-00009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0" name="Option Button 3479">
          <a:extLst>
            <a:ext uri="{FF2B5EF4-FFF2-40B4-BE49-F238E27FC236}">
              <a16:creationId xmlns:a16="http://schemas.microsoft.com/office/drawing/2014/main" id="{00000000-0008-0000-3200-00009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1" name="Group Box 3480" descr="Group Box 5">
          <a:extLst>
            <a:ext uri="{FF2B5EF4-FFF2-40B4-BE49-F238E27FC236}">
              <a16:creationId xmlns:a16="http://schemas.microsoft.com/office/drawing/2014/main" id="{00000000-0008-0000-3200-000099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697</xdr:row>
      <xdr:rowOff>28440</xdr:rowOff>
    </xdr:from>
    <xdr:to>
      <xdr:col>7</xdr:col>
      <xdr:colOff>-363960</xdr:colOff>
      <xdr:row>698</xdr:row>
      <xdr:rowOff>0</xdr:rowOff>
    </xdr:to>
    <xdr:sp macro="" textlink="">
      <xdr:nvSpPr>
        <xdr:cNvPr id="3482" name="Option Button 3481">
          <a:extLst>
            <a:ext uri="{FF2B5EF4-FFF2-40B4-BE49-F238E27FC236}">
              <a16:creationId xmlns:a16="http://schemas.microsoft.com/office/drawing/2014/main" id="{00000000-0008-0000-3200-00009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3" name="Option Button 3482">
          <a:extLst>
            <a:ext uri="{FF2B5EF4-FFF2-40B4-BE49-F238E27FC236}">
              <a16:creationId xmlns:a16="http://schemas.microsoft.com/office/drawing/2014/main" id="{00000000-0008-0000-3200-00009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4" name="Option Button 3483">
          <a:extLst>
            <a:ext uri="{FF2B5EF4-FFF2-40B4-BE49-F238E27FC236}">
              <a16:creationId xmlns:a16="http://schemas.microsoft.com/office/drawing/2014/main" id="{00000000-0008-0000-3200-00009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5" name="Option Button 3484">
          <a:extLst>
            <a:ext uri="{FF2B5EF4-FFF2-40B4-BE49-F238E27FC236}">
              <a16:creationId xmlns:a16="http://schemas.microsoft.com/office/drawing/2014/main" id="{00000000-0008-0000-3200-00009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6" name="Group Box 3485" descr="Group Box 5">
          <a:extLst>
            <a:ext uri="{FF2B5EF4-FFF2-40B4-BE49-F238E27FC236}">
              <a16:creationId xmlns:a16="http://schemas.microsoft.com/office/drawing/2014/main" id="{00000000-0008-0000-3200-00009E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698</xdr:row>
      <xdr:rowOff>28440</xdr:rowOff>
    </xdr:from>
    <xdr:to>
      <xdr:col>7</xdr:col>
      <xdr:colOff>-363960</xdr:colOff>
      <xdr:row>699</xdr:row>
      <xdr:rowOff>0</xdr:rowOff>
    </xdr:to>
    <xdr:sp macro="" textlink="">
      <xdr:nvSpPr>
        <xdr:cNvPr id="3487" name="Option Button 3486">
          <a:extLst>
            <a:ext uri="{FF2B5EF4-FFF2-40B4-BE49-F238E27FC236}">
              <a16:creationId xmlns:a16="http://schemas.microsoft.com/office/drawing/2014/main" id="{00000000-0008-0000-3200-00009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8" name="Option Button 3487">
          <a:extLst>
            <a:ext uri="{FF2B5EF4-FFF2-40B4-BE49-F238E27FC236}">
              <a16:creationId xmlns:a16="http://schemas.microsoft.com/office/drawing/2014/main" id="{00000000-0008-0000-3200-0000A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9" name="Option Button 3488">
          <a:extLst>
            <a:ext uri="{FF2B5EF4-FFF2-40B4-BE49-F238E27FC236}">
              <a16:creationId xmlns:a16="http://schemas.microsoft.com/office/drawing/2014/main" id="{00000000-0008-0000-3200-0000A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0" name="Option Button 3489">
          <a:extLst>
            <a:ext uri="{FF2B5EF4-FFF2-40B4-BE49-F238E27FC236}">
              <a16:creationId xmlns:a16="http://schemas.microsoft.com/office/drawing/2014/main" id="{00000000-0008-0000-3200-0000A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1" name="Group Box 3490" descr="Group Box 5">
          <a:extLst>
            <a:ext uri="{FF2B5EF4-FFF2-40B4-BE49-F238E27FC236}">
              <a16:creationId xmlns:a16="http://schemas.microsoft.com/office/drawing/2014/main" id="{00000000-0008-0000-3200-0000A3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699</xdr:row>
      <xdr:rowOff>28440</xdr:rowOff>
    </xdr:from>
    <xdr:to>
      <xdr:col>7</xdr:col>
      <xdr:colOff>-363960</xdr:colOff>
      <xdr:row>700</xdr:row>
      <xdr:rowOff>0</xdr:rowOff>
    </xdr:to>
    <xdr:sp macro="" textlink="">
      <xdr:nvSpPr>
        <xdr:cNvPr id="3492" name="Option Button 3491">
          <a:extLst>
            <a:ext uri="{FF2B5EF4-FFF2-40B4-BE49-F238E27FC236}">
              <a16:creationId xmlns:a16="http://schemas.microsoft.com/office/drawing/2014/main" id="{00000000-0008-0000-3200-0000A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3" name="Option Button 3492">
          <a:extLst>
            <a:ext uri="{FF2B5EF4-FFF2-40B4-BE49-F238E27FC236}">
              <a16:creationId xmlns:a16="http://schemas.microsoft.com/office/drawing/2014/main" id="{00000000-0008-0000-3200-0000A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4" name="Option Button 3493">
          <a:extLst>
            <a:ext uri="{FF2B5EF4-FFF2-40B4-BE49-F238E27FC236}">
              <a16:creationId xmlns:a16="http://schemas.microsoft.com/office/drawing/2014/main" id="{00000000-0008-0000-3200-0000A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5" name="Option Button 3494">
          <a:extLst>
            <a:ext uri="{FF2B5EF4-FFF2-40B4-BE49-F238E27FC236}">
              <a16:creationId xmlns:a16="http://schemas.microsoft.com/office/drawing/2014/main" id="{00000000-0008-0000-3200-0000A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6" name="Group Box 3495" descr="Group Box 5">
          <a:extLst>
            <a:ext uri="{FF2B5EF4-FFF2-40B4-BE49-F238E27FC236}">
              <a16:creationId xmlns:a16="http://schemas.microsoft.com/office/drawing/2014/main" id="{00000000-0008-0000-3200-0000A80D0000}"/>
            </a:ext>
          </a:extLst>
        </xdr:cNvPr>
        <xdr:cNvSpPr/>
      </xdr:nvSpPr>
      <xdr:spPr>
        <a:xfrm>
          <a:off x="0" y="0"/>
          <a:ext cx="0" cy="0"/>
        </a:xfrm>
        <a:prstGeom prst="rect">
          <a:avLst/>
        </a:prstGeom>
      </xdr:spPr>
      <xdr:txBody>
        <a:bodyPr anchor="ctr">
          <a:noAutofit/>
        </a:bodyPr>
        <a:lstStyle/>
        <a:p>
          <a:r>
            <a:t>Group Box 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edeng-my.sharepoint.com/Users/mccloj01/Documents/BACKUP/Projects/Essex%20MA/CAD/Functional%20Specs/Final%20Review/Essex%20Co%20MA%20CAD%20Interfaces%20spec%20-%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edeng-my.sharepoint.com/Users/mesara01/Documents/iFolder1/Loudoun%20Co%20VA/CAD%20examples%20for%20specifications/RFP%20Requirements%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edeng-my.sharepoint.com/Users/McCloskey/Documents/Projects/Spotsylvania%20VA/Functional%20Specifications/LERMS%20Functional%20Requiremen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edeng-my.sharepoint.com/Users/mesara01/Documents/iFolder1/CAD%20spec%20development/CAD%20folders/Interface%20modules/Master%20Interface%20specs/CAD%20Master%20Interfaces%20specs%20ATM%20201111110%20developmen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jkwal\Documents\Staunton%20VA\Functional%20Requirements\05%20-%20Staunton%20-%20Interface%20Functional%20Specifications%20DRAFT.xlsx" TargetMode="External"/><Relationship Id="rId1" Type="http://schemas.openxmlformats.org/officeDocument/2006/relationships/externalLinkPath" Target="https://fedeng-my.sharepoint.com/Users/jkwal/Documents/Staunton%20VA/Functional%20Requirements/05%20-%20Staunton%20-%20Interface%20Functional%20Specifications%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Support Data"/>
      <sheetName val="General Interface"/>
      <sheetName val="Alarm Monitoring Interface"/>
      <sheetName val="Alarm Track and Bill Interface"/>
      <sheetName val="Alpha-Text Paging Interface"/>
      <sheetName val="AVL Interface"/>
      <sheetName val="Bar Coding Interface"/>
      <sheetName val="Dynamic Radio Regroup Interface"/>
      <sheetName val="E9-1-1 Interface"/>
      <sheetName val="Call Interrogator Interface"/>
      <sheetName val="EMS Billing Interface"/>
      <sheetName val="ePCR Interface"/>
      <sheetName val="External DB Interface"/>
      <sheetName val="FAX Interface"/>
      <sheetName val="Firehouse Interface"/>
      <sheetName val="Forms-Report Writing Interface"/>
      <sheetName val="HazMat Interface"/>
      <sheetName val="Logging Recorder Interface"/>
      <sheetName val="Mobile Data Interface"/>
      <sheetName val="PSAP Master Clock"/>
      <sheetName val="Pictometry Interface"/>
      <sheetName val="Radio System Interface"/>
      <sheetName val="RMS Interface"/>
      <sheetName val="Resource Deployment Interface"/>
      <sheetName val="Rip and Run Interfaces"/>
      <sheetName val="Site Security Interface"/>
      <sheetName val="Staffing Interface"/>
      <sheetName val="State NCIC Interface"/>
      <sheetName val="TDD-TDY Interface"/>
      <sheetName val="Tone Alerting Interface"/>
      <sheetName val="Web CAD Interface"/>
      <sheetName val="NextGen"/>
      <sheetName val="Template radio buttons"/>
      <sheetName val="Responses"/>
      <sheetName val="cad"/>
      <sheetName val="system"/>
      <sheetName val="ems rms"/>
      <sheetName val="equipment &amp; maintenance"/>
      <sheetName val="f rms"/>
      <sheetName val="gis"/>
      <sheetName val="hydrants"/>
      <sheetName val="inspections"/>
      <sheetName val="interfaces"/>
      <sheetName val="investigations"/>
      <sheetName val="mdd-field rpting-avl"/>
      <sheetName val="nfirs"/>
      <sheetName val="permits"/>
      <sheetName val="staffing "/>
      <sheetName val="personnel &amp; training"/>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Common"/>
      <sheetName val="CAD"/>
      <sheetName val="CPE"/>
      <sheetName val="GIS"/>
      <sheetName val="Interface"/>
      <sheetName val="MDC"/>
      <sheetName val="FRMS"/>
      <sheetName val="LRMS"/>
      <sheetName val="Terminology"/>
      <sheetName val="Support data"/>
      <sheetName val="CAD specs (Beaver)"/>
    </sheetNames>
    <sheetDataSet>
      <sheetData sheetId="0"/>
      <sheetData sheetId="1"/>
      <sheetData sheetId="2"/>
      <sheetData sheetId="3"/>
      <sheetData sheetId="4"/>
      <sheetData sheetId="5"/>
      <sheetData sheetId="6"/>
      <sheetData sheetId="7"/>
      <sheetData sheetId="8"/>
      <sheetData sheetId="9"/>
      <sheetData sheetId="10">
        <row r="2">
          <cell r="F2" t="str">
            <v>Y</v>
          </cell>
        </row>
      </sheetData>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Support Data"/>
      <sheetName val="Instructions"/>
      <sheetName val="Law RMS General"/>
      <sheetName val="Law Accidents"/>
      <sheetName val="Law Activity Time Tracking"/>
      <sheetName val="Law Alarm Track and Billing"/>
      <sheetName val="Law Animal Control"/>
      <sheetName val="Law Arrest Records"/>
      <sheetName val="Law Asset Tracking"/>
      <sheetName val="Law Bar Coding Interface"/>
      <sheetName val="Law Bicycle Registration"/>
      <sheetName val="Law Booking"/>
      <sheetName val="Law Career Criminal"/>
      <sheetName val="Law Case Entry"/>
      <sheetName val="Law Case Management"/>
      <sheetName val="Law Investigations"/>
      <sheetName val="Law Civil Process"/>
      <sheetName val="Law Crime Analysis"/>
      <sheetName val="Law Crime Reporting"/>
      <sheetName val="Law Data Analysis"/>
      <sheetName val="Law Gang Tracking"/>
      <sheetName val="Law K9"/>
      <sheetName val="Law Narcotics"/>
      <sheetName val="Law Fleet Maintenance"/>
      <sheetName val="Law Field Interview"/>
      <sheetName val="Law Field Reporting"/>
      <sheetName val="Law Impounded Vehicle"/>
      <sheetName val="Law Gun Permits &amp; Registration"/>
      <sheetName val="Law Lineup - Mug Shot"/>
      <sheetName val="Law License and Permits"/>
      <sheetName val="Law Master Location"/>
      <sheetName val="Sheet1"/>
      <sheetName val="Law Master Name"/>
      <sheetName val="Law Master Vehicle"/>
      <sheetName val="Law Orders of Protection"/>
      <sheetName val="Law Pawn Shops"/>
      <sheetName val="Law Personnel &amp; Training"/>
      <sheetName val="Law Property Processing"/>
      <sheetName val="Law Tickets and Citations"/>
      <sheetName val="Law Wants and Warrants"/>
      <sheetName val="Template radio buttons"/>
      <sheetName val="fire rms general"/>
    </sheetNames>
    <sheetDataSet>
      <sheetData sheetId="0"/>
      <sheetData sheetId="1">
        <row r="6">
          <cell r="A6" t="str">
            <v>Extremely Advantageous</v>
          </cell>
        </row>
        <row r="23">
          <cell r="A23" t="str">
            <v>Summary</v>
          </cell>
        </row>
        <row r="24">
          <cell r="A24" t="str">
            <v>Spec Weight</v>
          </cell>
        </row>
        <row r="25">
          <cell r="A25" t="str">
            <v>Avail Weight</v>
          </cell>
        </row>
        <row r="26">
          <cell r="A26" t="str">
            <v>Score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radio buttons"/>
      <sheetName val="General Interface"/>
      <sheetName val="Support Data"/>
      <sheetName val="TDD-TDY Interface"/>
      <sheetName val="Staffing Interface"/>
      <sheetName val="Site Security Interface"/>
      <sheetName val="Rip and Run Interfaces"/>
      <sheetName val="Resource Deployment Interface"/>
      <sheetName val="Pictometry Interface"/>
      <sheetName val="PSAP Master Clock"/>
      <sheetName val="Logging Recorder Interface"/>
      <sheetName val="HazMat Interface"/>
      <sheetName val="Forms-Report Writing Interface"/>
      <sheetName val="External DB Interface"/>
      <sheetName val="Encoder Interface"/>
      <sheetName val="EMS Billing Interface"/>
      <sheetName val="EMD Interface"/>
      <sheetName val="E9-1-1 Interface"/>
      <sheetName val="Dynamic Radio Regroup Interface"/>
      <sheetName val="Bar Coding Interface"/>
      <sheetName val="AVL Interface"/>
      <sheetName val="Alpha Paging Interface"/>
      <sheetName val="system specifications"/>
    </sheetNames>
    <sheetDataSet>
      <sheetData sheetId="0"/>
      <sheetData sheetId="1"/>
      <sheetData sheetId="2">
        <row r="11">
          <cell r="A11" t="str">
            <v>Available in base</v>
          </cell>
        </row>
        <row r="12">
          <cell r="A12" t="str">
            <v>Not available</v>
          </cell>
        </row>
        <row r="13">
          <cell r="A13" t="str">
            <v>Exception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erface List"/>
      <sheetName val="Evaluation Overview"/>
      <sheetName val="Support Data"/>
      <sheetName val="Instructions"/>
      <sheetName val="911 ALI"/>
      <sheetName val="Accurint"/>
      <sheetName val="Alarm"/>
      <sheetName val="Arrest"/>
      <sheetName val="ALPR"/>
      <sheetName val="ASAP"/>
      <sheetName val="AXON"/>
      <sheetName val="BEAST"/>
      <sheetName val="CAMEO"/>
      <sheetName val="BI"/>
      <sheetName val="CAD2CAD"/>
      <sheetName val="CarFax"/>
      <sheetName val="Citizen Report"/>
      <sheetName val="Drones"/>
      <sheetName val="TREDS Crash"/>
      <sheetName val="Crash"/>
      <sheetName val="CryWolf"/>
      <sheetName val="Esri"/>
      <sheetName val="eCitation DMV "/>
      <sheetName val="eCitation Import"/>
      <sheetName val="EMD"/>
      <sheetName val="ePCR"/>
      <sheetName val="FSA"/>
      <sheetName val="FRMS Export"/>
      <sheetName val="FRMS Import"/>
      <sheetName val="LiNX"/>
      <sheetName val="Livescan"/>
      <sheetName val="NDEx"/>
      <sheetName val="NG911"/>
      <sheetName val="NIBRS"/>
      <sheetName val="NICE"/>
      <sheetName val="OffenderWatch Export"/>
      <sheetName val="OffenderWatch Query"/>
      <sheetName val="OnBase Export"/>
      <sheetName val="Paging"/>
      <sheetName val="Pictometry"/>
      <sheetName val="Prosecutor"/>
      <sheetName val="PulsePoint"/>
      <sheetName val="Radio Console"/>
      <sheetName val="Radio GPS"/>
      <sheetName val="RapidSOS"/>
      <sheetName val="Rip Run"/>
      <sheetName val="Smart911"/>
      <sheetName val="Traffic"/>
      <sheetName val="VCIN"/>
      <sheetName val="Removed"/>
      <sheetName val="Template radio buttons"/>
    </sheetNames>
    <sheetDataSet>
      <sheetData sheetId="0"/>
      <sheetData sheetId="1"/>
      <sheetData sheetId="2">
        <row r="6">
          <cell r="A6" t="str">
            <v>Critical</v>
          </cell>
        </row>
        <row r="7">
          <cell r="A7" t="str">
            <v>Important</v>
          </cell>
        </row>
        <row r="8">
          <cell r="A8" t="str">
            <v>Informational</v>
          </cell>
        </row>
        <row r="9">
          <cell r="A9" t="str">
            <v>Not Needed</v>
          </cell>
        </row>
        <row r="18">
          <cell r="A18" t="str">
            <v>Specifications</v>
          </cell>
        </row>
        <row r="19">
          <cell r="A19" t="str">
            <v>Contractor Work Area</v>
          </cell>
        </row>
        <row r="20">
          <cell r="A20" t="str">
            <v>Def ID</v>
          </cell>
        </row>
        <row r="22">
          <cell r="A22" t="str">
            <v>Availability</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Welcome">
  <a:themeElements>
    <a:clrScheme name="Welcome">
      <a:dk1>
        <a:srgbClr val="000000"/>
      </a:dk1>
      <a:lt1>
        <a:srgbClr val="FFFFFF"/>
      </a:lt1>
      <a:dk2>
        <a:srgbClr val="00272B"/>
      </a:dk2>
      <a:lt2>
        <a:srgbClr val="F7F7FF"/>
      </a:lt2>
      <a:accent1>
        <a:srgbClr val="006AED"/>
      </a:accent1>
      <a:accent2>
        <a:srgbClr val="0087BF"/>
      </a:accent2>
      <a:accent3>
        <a:srgbClr val="5D974B"/>
      </a:accent3>
      <a:accent4>
        <a:srgbClr val="9DBB3F"/>
      </a:accent4>
      <a:accent5>
        <a:srgbClr val="C77CC7"/>
      </a:accent5>
      <a:accent6>
        <a:srgbClr val="996699"/>
      </a:accent6>
      <a:hlink>
        <a:srgbClr val="E78707"/>
      </a:hlink>
      <a:folHlink>
        <a:srgbClr val="C618BA"/>
      </a:folHlink>
    </a:clrScheme>
    <a:fontScheme name="Welcome">
      <a:majorFont>
        <a:latin typeface="Book Antiqua"/>
        <a:ea typeface=""/>
        <a:cs typeface=""/>
      </a:majorFont>
      <a:minorFont>
        <a:latin typeface="Cambria"/>
        <a:ea typeface=""/>
        <a:cs typeface=""/>
      </a:minorFont>
    </a:fontScheme>
    <a:fmtScheme>
      <a:fillStyleLst>
        <a:solidFill>
          <a:schemeClr val="phClr">
            <a:tint val="100000"/>
            <a:shade val="100000"/>
          </a:schemeClr>
        </a:solidFill>
        <a:gradFill>
          <a:gsLst>
            <a:gs pos="0">
              <a:schemeClr val="phClr">
                <a:tint val="10000"/>
                <a:shade val="100000"/>
              </a:schemeClr>
            </a:gs>
            <a:gs pos="100000">
              <a:schemeClr val="phClr">
                <a:tint val="100000"/>
                <a:shade val="100000"/>
              </a:schemeClr>
            </a:gs>
          </a:gsLst>
          <a:lin ang="16200000" scaled="1"/>
          <a:tileRect/>
        </a:gradFill>
        <a:gradFill>
          <a:gsLst>
            <a:gs pos="0">
              <a:schemeClr val="phClr">
                <a:tint val="70000"/>
              </a:schemeClr>
            </a:gs>
            <a:gs pos="30000">
              <a:schemeClr val="phClr">
                <a:tint val="90000"/>
              </a:schemeClr>
            </a:gs>
            <a:gs pos="88000">
              <a:schemeClr val="phClr">
                <a:shade val="30000"/>
              </a:schemeClr>
            </a:gs>
            <a:gs pos="100000">
              <a:schemeClr val="phClr">
                <a:shade val="20000"/>
              </a:schemeClr>
            </a:gs>
          </a:gsLst>
          <a:lin ang="5400000" scaled="1"/>
          <a:tileRect/>
        </a:gradFill>
      </a:fillStyleLst>
      <a:lnStyleLst>
        <a:ln w="12700"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tint val="100000"/>
            <a:shade val="100000"/>
          </a:schemeClr>
        </a:solidFill>
        <a:gradFill>
          <a:gsLst>
            <a:gs pos="0">
              <a:schemeClr val="phClr">
                <a:tint val="100000"/>
                <a:shade val="30000"/>
              </a:schemeClr>
            </a:gs>
            <a:gs pos="20000">
              <a:schemeClr val="phClr">
                <a:tint val="100000"/>
                <a:shade val="100000"/>
              </a:schemeClr>
            </a:gs>
            <a:gs pos="100000">
              <a:schemeClr val="phClr">
                <a:tint val="90000"/>
                <a:shade val="100000"/>
              </a:schemeClr>
            </a:gs>
          </a:gsLst>
          <a:lin ang="16200000" scaled="1"/>
          <a:tileRect/>
        </a:gradFill>
        <a:gradFill>
          <a:gsLst>
            <a:gs pos="0">
              <a:schemeClr val="phClr">
                <a:tint val="100000"/>
                <a:shade val="30000"/>
              </a:schemeClr>
            </a:gs>
            <a:gs pos="20000">
              <a:schemeClr val="phClr">
                <a:tint val="100000"/>
                <a:shade val="100000"/>
              </a:schemeClr>
            </a:gs>
            <a:gs pos="100000">
              <a:schemeClr val="phClr">
                <a:tint val="90000"/>
                <a:shade val="100000"/>
              </a:schemeClr>
            </a:gs>
          </a:gsLst>
          <a:lin ang="16200000" scaled="1"/>
          <a:tileRect/>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9"/>
  <sheetViews>
    <sheetView zoomScaleNormal="100" workbookViewId="0">
      <selection activeCell="A34" sqref="A34"/>
    </sheetView>
  </sheetViews>
  <sheetFormatPr defaultColWidth="8.19921875" defaultRowHeight="13.8" x14ac:dyDescent="0.25"/>
  <cols>
    <col min="1" max="1" width="66.5" customWidth="1"/>
  </cols>
  <sheetData>
    <row r="1" spans="1:1" x14ac:dyDescent="0.25">
      <c r="A1" t="s">
        <v>0</v>
      </c>
    </row>
    <row r="2" spans="1:1" x14ac:dyDescent="0.25">
      <c r="A2" t="s">
        <v>1</v>
      </c>
    </row>
    <row r="3" spans="1:1" x14ac:dyDescent="0.25">
      <c r="A3" s="1" t="s">
        <v>2</v>
      </c>
    </row>
    <row r="4" spans="1:1" x14ac:dyDescent="0.25">
      <c r="A4" t="s">
        <v>3</v>
      </c>
    </row>
    <row r="5" spans="1:1" x14ac:dyDescent="0.25">
      <c r="A5" t="s">
        <v>4</v>
      </c>
    </row>
    <row r="6" spans="1:1" x14ac:dyDescent="0.25">
      <c r="A6" t="s">
        <v>5</v>
      </c>
    </row>
    <row r="7" spans="1:1" x14ac:dyDescent="0.25">
      <c r="A7" t="s">
        <v>6</v>
      </c>
    </row>
    <row r="8" spans="1:1" x14ac:dyDescent="0.25">
      <c r="A8" t="s">
        <v>7</v>
      </c>
    </row>
    <row r="9" spans="1:1" x14ac:dyDescent="0.25">
      <c r="A9" t="s">
        <v>8</v>
      </c>
    </row>
    <row r="10" spans="1:1" x14ac:dyDescent="0.25">
      <c r="A10" t="s">
        <v>9</v>
      </c>
    </row>
    <row r="11" spans="1:1" x14ac:dyDescent="0.25">
      <c r="A11" t="s">
        <v>10</v>
      </c>
    </row>
    <row r="12" spans="1:1" x14ac:dyDescent="0.25">
      <c r="A12" t="s">
        <v>11</v>
      </c>
    </row>
    <row r="13" spans="1:1" x14ac:dyDescent="0.25">
      <c r="A13" t="s">
        <v>12</v>
      </c>
    </row>
    <row r="14" spans="1:1" x14ac:dyDescent="0.25">
      <c r="A14" t="s">
        <v>13</v>
      </c>
    </row>
    <row r="15" spans="1:1" x14ac:dyDescent="0.25">
      <c r="A15" t="s">
        <v>14</v>
      </c>
    </row>
    <row r="16" spans="1:1" x14ac:dyDescent="0.25">
      <c r="A16" t="s">
        <v>15</v>
      </c>
    </row>
    <row r="17" spans="1:1" x14ac:dyDescent="0.25">
      <c r="A17" t="s">
        <v>16</v>
      </c>
    </row>
    <row r="18" spans="1:1" x14ac:dyDescent="0.25">
      <c r="A18" t="s">
        <v>17</v>
      </c>
    </row>
    <row r="19" spans="1:1" x14ac:dyDescent="0.25">
      <c r="A19" t="s">
        <v>18</v>
      </c>
    </row>
    <row r="20" spans="1:1" x14ac:dyDescent="0.25">
      <c r="A20" t="s">
        <v>19</v>
      </c>
    </row>
    <row r="21" spans="1:1" x14ac:dyDescent="0.25">
      <c r="A21" t="s">
        <v>20</v>
      </c>
    </row>
    <row r="22" spans="1:1" x14ac:dyDescent="0.25">
      <c r="A22" t="s">
        <v>21</v>
      </c>
    </row>
    <row r="23" spans="1:1" x14ac:dyDescent="0.25">
      <c r="A23" t="s">
        <v>22</v>
      </c>
    </row>
    <row r="24" spans="1:1" x14ac:dyDescent="0.25">
      <c r="A24" s="1" t="s">
        <v>23</v>
      </c>
    </row>
    <row r="25" spans="1:1" x14ac:dyDescent="0.25">
      <c r="A25" t="s">
        <v>24</v>
      </c>
    </row>
    <row r="26" spans="1:1" x14ac:dyDescent="0.25">
      <c r="A26" t="s">
        <v>25</v>
      </c>
    </row>
    <row r="27" spans="1:1" x14ac:dyDescent="0.25">
      <c r="A27" t="s">
        <v>26</v>
      </c>
    </row>
    <row r="28" spans="1:1" x14ac:dyDescent="0.25">
      <c r="A28" t="s">
        <v>27</v>
      </c>
    </row>
    <row r="29" spans="1:1" x14ac:dyDescent="0.25">
      <c r="A29" t="s">
        <v>28</v>
      </c>
    </row>
    <row r="33" spans="1:1" x14ac:dyDescent="0.25">
      <c r="A33" s="1" t="s">
        <v>29</v>
      </c>
    </row>
    <row r="34" spans="1:1" x14ac:dyDescent="0.25">
      <c r="A34" t="s">
        <v>30</v>
      </c>
    </row>
    <row r="46" spans="1:1" x14ac:dyDescent="0.25">
      <c r="A46" t="s">
        <v>31</v>
      </c>
    </row>
    <row r="47" spans="1:1" x14ac:dyDescent="0.25">
      <c r="A47" t="s">
        <v>28</v>
      </c>
    </row>
    <row r="49" spans="1:1" x14ac:dyDescent="0.25">
      <c r="A49" t="s">
        <v>32</v>
      </c>
    </row>
  </sheetData>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K49"/>
  <sheetViews>
    <sheetView zoomScale="90" zoomScaleNormal="90" zoomScalePageLayoutView="90" workbookViewId="0"/>
  </sheetViews>
  <sheetFormatPr defaultColWidth="9" defaultRowHeight="13.8" x14ac:dyDescent="0.25"/>
  <cols>
    <col min="1" max="1" width="12.59765625" style="195" customWidth="1"/>
    <col min="2" max="2" width="14.59765625" style="195" customWidth="1"/>
    <col min="3" max="3" width="65.59765625" style="196" customWidth="1"/>
    <col min="4" max="4" width="65.59765625" style="197" customWidth="1"/>
    <col min="5" max="5" width="10.59765625" style="197" customWidth="1"/>
    <col min="6" max="6" width="6.59765625" style="197" customWidth="1"/>
    <col min="7" max="7" width="30.59765625" style="197" customWidth="1"/>
    <col min="8" max="11" width="8.59765625" style="197" customWidth="1"/>
    <col min="12" max="16384" width="9" style="197"/>
  </cols>
  <sheetData>
    <row r="1" spans="1:11" s="124" customFormat="1" ht="105" customHeight="1" x14ac:dyDescent="0.25">
      <c r="A1" s="158" t="s">
        <v>102</v>
      </c>
      <c r="B1" s="119" t="s">
        <v>103</v>
      </c>
      <c r="C1" s="158" t="str">
        <f>'Support Data'!A18</f>
        <v>Specifications</v>
      </c>
      <c r="D1" s="159" t="str">
        <f>'Support Data'!$A$19</f>
        <v>Contractor Work Area</v>
      </c>
      <c r="E1" s="159" t="str">
        <f>'Support Data'!A20</f>
        <v>Def ID</v>
      </c>
      <c r="F1" s="160" t="s">
        <v>78</v>
      </c>
      <c r="G1" s="159" t="str">
        <f>'Support Data'!A22</f>
        <v>Availability</v>
      </c>
      <c r="H1" s="123" t="str">
        <f>'Support Data'!A24</f>
        <v>Summary</v>
      </c>
      <c r="I1" s="123" t="str">
        <f>'Support Data'!A25</f>
        <v>Spec Weight</v>
      </c>
      <c r="J1" s="123" t="str">
        <f>'Support Data'!A26</f>
        <v>Avail Weight</v>
      </c>
      <c r="K1" s="123" t="str">
        <f>'Support Data'!A27</f>
        <v>Score</v>
      </c>
    </row>
    <row r="2" spans="1:11" ht="15.6" x14ac:dyDescent="0.3">
      <c r="A2" s="287" t="s">
        <v>260</v>
      </c>
      <c r="B2" s="288"/>
      <c r="C2" s="199"/>
      <c r="D2" s="200"/>
      <c r="E2" s="201"/>
      <c r="F2" s="201"/>
      <c r="G2" s="201"/>
      <c r="H2" s="197">
        <f>COUNTA(B3:B49)</f>
        <v>36</v>
      </c>
      <c r="K2" s="115" t="e">
        <f>SUM(K3:K49)</f>
        <v>#N/A</v>
      </c>
    </row>
    <row r="3" spans="1:11" ht="27.6" x14ac:dyDescent="0.3">
      <c r="A3" s="289" t="s">
        <v>261</v>
      </c>
      <c r="B3" s="290" t="s">
        <v>262</v>
      </c>
      <c r="C3" s="291" t="s">
        <v>263</v>
      </c>
      <c r="D3" s="292"/>
      <c r="E3" s="224"/>
      <c r="F3" s="176"/>
      <c r="G3" s="293" t="s">
        <v>101</v>
      </c>
      <c r="H3" s="115">
        <f>COUNTIF(G:G,"=Select from Drop Down List")</f>
        <v>36</v>
      </c>
      <c r="I3" s="116" t="e">
        <f>IF(NOT(ISBLANK($B3)),VLOOKUP($B3,specdata,2,FALSE()),"")</f>
        <v>#N/A</v>
      </c>
      <c r="J3" s="207">
        <f>VLOOKUP(G3,AvailabilityData,2,FALSE())</f>
        <v>0</v>
      </c>
      <c r="K3" s="116" t="e">
        <f>I3*J3</f>
        <v>#N/A</v>
      </c>
    </row>
    <row r="4" spans="1:11" ht="55.2" x14ac:dyDescent="0.3">
      <c r="A4" s="210"/>
      <c r="B4" s="211"/>
      <c r="C4" s="212" t="s">
        <v>264</v>
      </c>
      <c r="D4" s="294"/>
      <c r="E4" s="214"/>
      <c r="F4" s="181"/>
      <c r="G4" s="215"/>
      <c r="H4" s="115">
        <f>COUNTIF(G:G,"=Function Available")</f>
        <v>0</v>
      </c>
      <c r="I4" s="116"/>
      <c r="J4" s="207"/>
      <c r="K4" s="116"/>
    </row>
    <row r="5" spans="1:11" ht="30" customHeight="1" x14ac:dyDescent="0.3">
      <c r="A5" s="216" t="s">
        <v>265</v>
      </c>
      <c r="B5" s="203" t="s">
        <v>262</v>
      </c>
      <c r="C5" s="232" t="s">
        <v>266</v>
      </c>
      <c r="D5" s="295"/>
      <c r="E5" s="219"/>
      <c r="F5" s="187"/>
      <c r="G5" s="296" t="s">
        <v>101</v>
      </c>
      <c r="H5" s="115">
        <f>COUNTIF(F:G,"=Function Not Available")</f>
        <v>0</v>
      </c>
      <c r="I5" s="116" t="e">
        <f>IF(NOT(ISBLANK($B5)),VLOOKUP($B5,specdata,2,FALSE()),"")</f>
        <v>#N/A</v>
      </c>
      <c r="J5" s="207">
        <f>VLOOKUP(G5,AvailabilityData,2,FALSE())</f>
        <v>0</v>
      </c>
      <c r="K5" s="116" t="e">
        <f>I5*J5</f>
        <v>#N/A</v>
      </c>
    </row>
    <row r="6" spans="1:11" ht="27.6" x14ac:dyDescent="0.3">
      <c r="A6" s="216" t="s">
        <v>267</v>
      </c>
      <c r="B6" s="297" t="s">
        <v>262</v>
      </c>
      <c r="C6" s="208" t="s">
        <v>268</v>
      </c>
      <c r="D6" s="298"/>
      <c r="E6" s="205"/>
      <c r="F6" s="137"/>
      <c r="G6" s="299" t="s">
        <v>101</v>
      </c>
      <c r="H6" s="115">
        <f>COUNTIF(G:G,"=Exception")</f>
        <v>0</v>
      </c>
      <c r="I6" s="116" t="e">
        <f>IF(NOT(ISBLANK($B6)),VLOOKUP($B6,specdata,2,FALSE()),"")</f>
        <v>#N/A</v>
      </c>
      <c r="J6" s="207">
        <f>VLOOKUP(G6,AvailabilityData,2,FALSE())</f>
        <v>0</v>
      </c>
      <c r="K6" s="116" t="e">
        <f>I6*J6</f>
        <v>#N/A</v>
      </c>
    </row>
    <row r="7" spans="1:11" ht="27.6" x14ac:dyDescent="0.3">
      <c r="A7" s="216" t="s">
        <v>269</v>
      </c>
      <c r="B7" s="297" t="s">
        <v>262</v>
      </c>
      <c r="C7" s="208" t="s">
        <v>270</v>
      </c>
      <c r="D7" s="298"/>
      <c r="E7" s="205"/>
      <c r="F7" s="137"/>
      <c r="G7" s="299" t="s">
        <v>101</v>
      </c>
      <c r="H7" s="300">
        <f>COUNTIFS(B:B,"=Extremely Advantageous",G:G,"=Select from Drop Down List")</f>
        <v>0</v>
      </c>
      <c r="I7" s="116" t="e">
        <f>IF(NOT(ISBLANK($B7)),VLOOKUP($B7,specdata,2,FALSE()),"")</f>
        <v>#N/A</v>
      </c>
      <c r="J7" s="207">
        <f>VLOOKUP(G7,AvailabilityData,2,FALSE())</f>
        <v>0</v>
      </c>
      <c r="K7" s="116" t="e">
        <f>I7*J7</f>
        <v>#N/A</v>
      </c>
    </row>
    <row r="8" spans="1:11" ht="41.4" x14ac:dyDescent="0.3">
      <c r="A8" s="216" t="s">
        <v>271</v>
      </c>
      <c r="B8" s="290" t="s">
        <v>262</v>
      </c>
      <c r="C8" s="291" t="s">
        <v>272</v>
      </c>
      <c r="D8" s="292"/>
      <c r="E8" s="224"/>
      <c r="F8" s="176"/>
      <c r="G8" s="301" t="s">
        <v>101</v>
      </c>
      <c r="H8" s="300">
        <f>COUNTIFS(B:B,"=Extremely Advantageous",G:G,"=Function Available")</f>
        <v>0</v>
      </c>
      <c r="I8" s="116" t="e">
        <f>IF(NOT(ISBLANK($B8)),VLOOKUP($B8,specdata,2,FALSE()),"")</f>
        <v>#N/A</v>
      </c>
      <c r="J8" s="207">
        <f>VLOOKUP(G8,AvailabilityData,2,FALSE())</f>
        <v>0</v>
      </c>
      <c r="K8" s="116" t="e">
        <f>I8*J8</f>
        <v>#N/A</v>
      </c>
    </row>
    <row r="9" spans="1:11" ht="15.6" x14ac:dyDescent="0.3">
      <c r="A9" s="210"/>
      <c r="B9" s="211"/>
      <c r="C9" s="212" t="s">
        <v>273</v>
      </c>
      <c r="D9" s="294"/>
      <c r="E9" s="214"/>
      <c r="F9" s="181"/>
      <c r="G9" s="215"/>
      <c r="H9" s="300">
        <f>COUNTIFS(B:B,"=Extremely Advantageous",G:G,"=Function Not Available")</f>
        <v>0</v>
      </c>
      <c r="I9" s="116"/>
      <c r="J9" s="207"/>
      <c r="K9" s="116"/>
    </row>
    <row r="10" spans="1:11" ht="30" customHeight="1" x14ac:dyDescent="0.3">
      <c r="A10" s="216" t="s">
        <v>274</v>
      </c>
      <c r="B10" s="203" t="s">
        <v>262</v>
      </c>
      <c r="C10" s="232" t="s">
        <v>275</v>
      </c>
      <c r="D10" s="295"/>
      <c r="E10" s="219"/>
      <c r="F10" s="187"/>
      <c r="G10" s="302" t="s">
        <v>101</v>
      </c>
      <c r="H10" s="300">
        <f>COUNTIFS(B:B,"=Extremely Advantageous",G:G,"=Exception")</f>
        <v>0</v>
      </c>
      <c r="I10" s="116" t="e">
        <f t="shared" ref="I10:I15" si="0">IF(NOT(ISBLANK($B10)),VLOOKUP($B10,specdata,2,FALSE()),"")</f>
        <v>#N/A</v>
      </c>
      <c r="J10" s="207">
        <f t="shared" ref="J10:J15" si="1">VLOOKUP(G10,AvailabilityData,2,FALSE())</f>
        <v>0</v>
      </c>
      <c r="K10" s="116" t="e">
        <f t="shared" ref="K10:K15" si="2">I10*J10</f>
        <v>#N/A</v>
      </c>
    </row>
    <row r="11" spans="1:11" ht="55.2" x14ac:dyDescent="0.3">
      <c r="A11" s="216" t="s">
        <v>276</v>
      </c>
      <c r="B11" s="297" t="s">
        <v>262</v>
      </c>
      <c r="C11" s="208" t="s">
        <v>277</v>
      </c>
      <c r="D11" s="298"/>
      <c r="E11" s="205"/>
      <c r="F11" s="137"/>
      <c r="G11" s="303" t="s">
        <v>101</v>
      </c>
      <c r="H11" s="304">
        <f>COUNTIFS(B:B,"=Advantageous",G:G,"=Select from Drop Down List")</f>
        <v>36</v>
      </c>
      <c r="I11" s="116" t="e">
        <f t="shared" si="0"/>
        <v>#N/A</v>
      </c>
      <c r="J11" s="207">
        <f t="shared" si="1"/>
        <v>0</v>
      </c>
      <c r="K11" s="116" t="e">
        <f t="shared" si="2"/>
        <v>#N/A</v>
      </c>
    </row>
    <row r="12" spans="1:11" ht="27.6" x14ac:dyDescent="0.3">
      <c r="A12" s="216" t="s">
        <v>278</v>
      </c>
      <c r="B12" s="297" t="s">
        <v>262</v>
      </c>
      <c r="C12" s="208" t="s">
        <v>279</v>
      </c>
      <c r="D12" s="298"/>
      <c r="E12" s="205"/>
      <c r="F12" s="137"/>
      <c r="G12" s="303" t="s">
        <v>101</v>
      </c>
      <c r="H12" s="304">
        <f>COUNTIFS(B:B,"=Advantageous",G:G,"=Function Available")</f>
        <v>0</v>
      </c>
      <c r="I12" s="116" t="e">
        <f t="shared" si="0"/>
        <v>#N/A</v>
      </c>
      <c r="J12" s="207">
        <f t="shared" si="1"/>
        <v>0</v>
      </c>
      <c r="K12" s="116" t="e">
        <f t="shared" si="2"/>
        <v>#N/A</v>
      </c>
    </row>
    <row r="13" spans="1:11" ht="27.6" x14ac:dyDescent="0.3">
      <c r="A13" s="216" t="s">
        <v>280</v>
      </c>
      <c r="B13" s="297" t="s">
        <v>262</v>
      </c>
      <c r="C13" s="208" t="s">
        <v>281</v>
      </c>
      <c r="D13" s="298"/>
      <c r="E13" s="205"/>
      <c r="F13" s="137"/>
      <c r="G13" s="303" t="s">
        <v>101</v>
      </c>
      <c r="H13" s="304">
        <f>COUNTIFS(B:B,"=Advantageous",G:G,"=Function Not Available")</f>
        <v>0</v>
      </c>
      <c r="I13" s="116" t="e">
        <f t="shared" si="0"/>
        <v>#N/A</v>
      </c>
      <c r="J13" s="207">
        <f t="shared" si="1"/>
        <v>0</v>
      </c>
      <c r="K13" s="116" t="e">
        <f t="shared" si="2"/>
        <v>#N/A</v>
      </c>
    </row>
    <row r="14" spans="1:11" ht="30" customHeight="1" x14ac:dyDescent="0.3">
      <c r="A14" s="216" t="s">
        <v>282</v>
      </c>
      <c r="B14" s="297" t="s">
        <v>262</v>
      </c>
      <c r="C14" s="208" t="s">
        <v>283</v>
      </c>
      <c r="D14" s="298"/>
      <c r="E14" s="205"/>
      <c r="F14" s="137"/>
      <c r="G14" s="303" t="s">
        <v>101</v>
      </c>
      <c r="H14" s="304">
        <f>COUNTIFS(B:B,"=Advantageous",G:G,"=Exception")</f>
        <v>0</v>
      </c>
      <c r="I14" s="116" t="e">
        <f t="shared" si="0"/>
        <v>#N/A</v>
      </c>
      <c r="J14" s="207">
        <f t="shared" si="1"/>
        <v>0</v>
      </c>
      <c r="K14" s="116" t="e">
        <f t="shared" si="2"/>
        <v>#N/A</v>
      </c>
    </row>
    <row r="15" spans="1:11" ht="41.4" x14ac:dyDescent="0.3">
      <c r="A15" s="216" t="s">
        <v>284</v>
      </c>
      <c r="B15" s="290" t="s">
        <v>262</v>
      </c>
      <c r="C15" s="291" t="s">
        <v>285</v>
      </c>
      <c r="D15" s="292"/>
      <c r="E15" s="224"/>
      <c r="F15" s="176"/>
      <c r="G15" s="301" t="s">
        <v>101</v>
      </c>
      <c r="H15" s="257">
        <f>COUNTIFS(B:B,"=Minimal",G:G,"=Select from Drop Down List")</f>
        <v>0</v>
      </c>
      <c r="I15" s="116" t="e">
        <f t="shared" si="0"/>
        <v>#N/A</v>
      </c>
      <c r="J15" s="207">
        <f t="shared" si="1"/>
        <v>0</v>
      </c>
      <c r="K15" s="116" t="e">
        <f t="shared" si="2"/>
        <v>#N/A</v>
      </c>
    </row>
    <row r="16" spans="1:11" ht="15.6" x14ac:dyDescent="0.3">
      <c r="A16" s="210"/>
      <c r="B16" s="211"/>
      <c r="C16" s="212" t="s">
        <v>286</v>
      </c>
      <c r="D16" s="294"/>
      <c r="E16" s="214"/>
      <c r="F16" s="181"/>
      <c r="G16" s="215"/>
      <c r="H16" s="257">
        <f>COUNTIFS(B:B,"=Minimal",G:G,"=Function Available")</f>
        <v>0</v>
      </c>
      <c r="I16" s="116"/>
      <c r="J16" s="207"/>
      <c r="K16" s="116"/>
    </row>
    <row r="17" spans="1:11" ht="30" customHeight="1" x14ac:dyDescent="0.3">
      <c r="A17" s="216" t="s">
        <v>287</v>
      </c>
      <c r="B17" s="203" t="s">
        <v>262</v>
      </c>
      <c r="C17" s="232" t="s">
        <v>288</v>
      </c>
      <c r="D17" s="295"/>
      <c r="E17" s="219"/>
      <c r="F17" s="187"/>
      <c r="G17" s="302" t="s">
        <v>101</v>
      </c>
      <c r="H17" s="257">
        <f>COUNTIFS(B:B,"=Minimal",G:G,"=Function Not Available")</f>
        <v>0</v>
      </c>
      <c r="I17" s="116" t="e">
        <f>IF(NOT(ISBLANK($B17)),VLOOKUP($B17,specdata,2,FALSE()),"")</f>
        <v>#N/A</v>
      </c>
      <c r="J17" s="207">
        <f>VLOOKUP(G17,AvailabilityData,2,FALSE())</f>
        <v>0</v>
      </c>
      <c r="K17" s="116" t="e">
        <f>I17*J17</f>
        <v>#N/A</v>
      </c>
    </row>
    <row r="18" spans="1:11" ht="30" customHeight="1" x14ac:dyDescent="0.3">
      <c r="A18" s="216" t="s">
        <v>289</v>
      </c>
      <c r="B18" s="203" t="s">
        <v>262</v>
      </c>
      <c r="C18" s="232" t="s">
        <v>290</v>
      </c>
      <c r="D18" s="218"/>
      <c r="E18" s="219"/>
      <c r="F18" s="191"/>
      <c r="G18" s="299" t="s">
        <v>101</v>
      </c>
      <c r="H18" s="257">
        <f>COUNTIFS(B:B,"=Minimal",G:G,"=Exception")</f>
        <v>0</v>
      </c>
      <c r="I18" s="116" t="e">
        <f>IF(NOT(ISBLANK($B18)),VLOOKUP($B18,specdata,2,FALSE()),"")</f>
        <v>#N/A</v>
      </c>
      <c r="J18" s="207">
        <f>VLOOKUP(G18,AvailabilityData,2,FALSE())</f>
        <v>0</v>
      </c>
      <c r="K18" s="116" t="e">
        <f>I18*J18</f>
        <v>#N/A</v>
      </c>
    </row>
    <row r="19" spans="1:11" ht="30" customHeight="1" x14ac:dyDescent="0.3">
      <c r="A19" s="216" t="s">
        <v>291</v>
      </c>
      <c r="B19" s="297" t="s">
        <v>262</v>
      </c>
      <c r="C19" s="208" t="s">
        <v>292</v>
      </c>
      <c r="D19" s="209"/>
      <c r="E19" s="219"/>
      <c r="F19" s="191"/>
      <c r="G19" s="299" t="s">
        <v>101</v>
      </c>
      <c r="H19" s="257"/>
      <c r="I19" s="116" t="e">
        <f>IF(NOT(ISBLANK($B19)),VLOOKUP($B19,specdata,2,FALSE()),"")</f>
        <v>#N/A</v>
      </c>
      <c r="J19" s="207">
        <f>VLOOKUP(G19,AvailabilityData,2,FALSE())</f>
        <v>0</v>
      </c>
      <c r="K19" s="116" t="e">
        <f>I19*J19</f>
        <v>#N/A</v>
      </c>
    </row>
    <row r="20" spans="1:11" ht="41.4" x14ac:dyDescent="0.3">
      <c r="A20" s="216" t="s">
        <v>293</v>
      </c>
      <c r="B20" s="297" t="s">
        <v>262</v>
      </c>
      <c r="C20" s="208" t="s">
        <v>294</v>
      </c>
      <c r="D20" s="209"/>
      <c r="E20" s="219"/>
      <c r="F20" s="191"/>
      <c r="G20" s="299" t="s">
        <v>101</v>
      </c>
      <c r="H20" s="257"/>
      <c r="I20" s="116" t="e">
        <f>IF(NOT(ISBLANK($B20)),VLOOKUP($B20,specdata,2,FALSE()),"")</f>
        <v>#N/A</v>
      </c>
      <c r="J20" s="207">
        <f>VLOOKUP(G20,AvailabilityData,2,FALSE())</f>
        <v>0</v>
      </c>
      <c r="K20" s="116" t="e">
        <f>I20*J20</f>
        <v>#N/A</v>
      </c>
    </row>
    <row r="21" spans="1:11" ht="30" customHeight="1" x14ac:dyDescent="0.3">
      <c r="A21" s="216" t="s">
        <v>295</v>
      </c>
      <c r="B21" s="290" t="s">
        <v>262</v>
      </c>
      <c r="C21" s="291" t="s">
        <v>296</v>
      </c>
      <c r="D21" s="223"/>
      <c r="E21" s="229"/>
      <c r="F21" s="272"/>
      <c r="G21" s="293" t="s">
        <v>101</v>
      </c>
      <c r="H21" s="257"/>
      <c r="I21" s="116" t="e">
        <f>IF(NOT(ISBLANK($B21)),VLOOKUP($B21,specdata,2,FALSE()),"")</f>
        <v>#N/A</v>
      </c>
      <c r="J21" s="207">
        <f>VLOOKUP(G21,AvailabilityData,2,FALSE())</f>
        <v>0</v>
      </c>
      <c r="K21" s="116" t="e">
        <f>I21*J21</f>
        <v>#N/A</v>
      </c>
    </row>
    <row r="22" spans="1:11" ht="15.6" x14ac:dyDescent="0.3">
      <c r="A22" s="305"/>
      <c r="B22" s="306"/>
      <c r="C22" s="307" t="s">
        <v>297</v>
      </c>
      <c r="D22" s="308"/>
      <c r="E22" s="309"/>
      <c r="F22" s="285"/>
      <c r="G22" s="310"/>
      <c r="H22" s="257"/>
      <c r="I22" s="116"/>
      <c r="J22" s="207"/>
      <c r="K22" s="116"/>
    </row>
    <row r="23" spans="1:11" ht="30" customHeight="1" x14ac:dyDescent="0.3">
      <c r="A23" s="210"/>
      <c r="B23" s="211"/>
      <c r="C23" s="212" t="s">
        <v>298</v>
      </c>
      <c r="D23" s="213"/>
      <c r="E23" s="214"/>
      <c r="F23" s="181"/>
      <c r="G23" s="215"/>
      <c r="H23" s="257"/>
      <c r="I23" s="116"/>
      <c r="J23" s="207"/>
      <c r="K23" s="116"/>
    </row>
    <row r="24" spans="1:11" ht="30" customHeight="1" x14ac:dyDescent="0.3">
      <c r="A24" s="216" t="s">
        <v>299</v>
      </c>
      <c r="B24" s="203" t="s">
        <v>262</v>
      </c>
      <c r="C24" s="217" t="s">
        <v>300</v>
      </c>
      <c r="D24" s="218"/>
      <c r="E24" s="219"/>
      <c r="F24" s="191"/>
      <c r="G24" s="296" t="s">
        <v>101</v>
      </c>
      <c r="H24" s="257"/>
      <c r="I24" s="116" t="e">
        <f t="shared" ref="I24:I29" si="3">IF(NOT(ISBLANK($B24)),VLOOKUP($B24,specdata,2,FALSE()),"")</f>
        <v>#N/A</v>
      </c>
      <c r="J24" s="207">
        <f t="shared" ref="J24:J29" si="4">VLOOKUP(G24,AvailabilityData,2,FALSE())</f>
        <v>0</v>
      </c>
      <c r="K24" s="116" t="e">
        <f t="shared" ref="K24:K29" si="5">I24*J24</f>
        <v>#N/A</v>
      </c>
    </row>
    <row r="25" spans="1:11" ht="30" customHeight="1" x14ac:dyDescent="0.3">
      <c r="A25" s="216" t="s">
        <v>301</v>
      </c>
      <c r="B25" s="297" t="s">
        <v>262</v>
      </c>
      <c r="C25" s="221" t="s">
        <v>302</v>
      </c>
      <c r="D25" s="209"/>
      <c r="E25" s="219"/>
      <c r="F25" s="191"/>
      <c r="G25" s="299" t="s">
        <v>101</v>
      </c>
      <c r="H25" s="257"/>
      <c r="I25" s="116" t="e">
        <f t="shared" si="3"/>
        <v>#N/A</v>
      </c>
      <c r="J25" s="207">
        <f t="shared" si="4"/>
        <v>0</v>
      </c>
      <c r="K25" s="116" t="e">
        <f t="shared" si="5"/>
        <v>#N/A</v>
      </c>
    </row>
    <row r="26" spans="1:11" ht="30" customHeight="1" x14ac:dyDescent="0.3">
      <c r="A26" s="216" t="s">
        <v>303</v>
      </c>
      <c r="B26" s="297" t="s">
        <v>262</v>
      </c>
      <c r="C26" s="221" t="s">
        <v>304</v>
      </c>
      <c r="D26" s="209"/>
      <c r="E26" s="219"/>
      <c r="F26" s="191"/>
      <c r="G26" s="299" t="s">
        <v>101</v>
      </c>
      <c r="H26" s="257"/>
      <c r="I26" s="116" t="e">
        <f t="shared" si="3"/>
        <v>#N/A</v>
      </c>
      <c r="J26" s="207">
        <f t="shared" si="4"/>
        <v>0</v>
      </c>
      <c r="K26" s="116" t="e">
        <f t="shared" si="5"/>
        <v>#N/A</v>
      </c>
    </row>
    <row r="27" spans="1:11" ht="30" customHeight="1" x14ac:dyDescent="0.3">
      <c r="A27" s="216" t="s">
        <v>305</v>
      </c>
      <c r="B27" s="297" t="s">
        <v>262</v>
      </c>
      <c r="C27" s="221" t="s">
        <v>306</v>
      </c>
      <c r="D27" s="209"/>
      <c r="E27" s="219"/>
      <c r="F27" s="191"/>
      <c r="G27" s="299" t="s">
        <v>101</v>
      </c>
      <c r="H27" s="257"/>
      <c r="I27" s="116" t="e">
        <f t="shared" si="3"/>
        <v>#N/A</v>
      </c>
      <c r="J27" s="207">
        <f t="shared" si="4"/>
        <v>0</v>
      </c>
      <c r="K27" s="116" t="e">
        <f t="shared" si="5"/>
        <v>#N/A</v>
      </c>
    </row>
    <row r="28" spans="1:11" ht="30" customHeight="1" x14ac:dyDescent="0.3">
      <c r="A28" s="216" t="s">
        <v>307</v>
      </c>
      <c r="B28" s="297" t="s">
        <v>262</v>
      </c>
      <c r="C28" s="221" t="s">
        <v>308</v>
      </c>
      <c r="D28" s="209"/>
      <c r="E28" s="219"/>
      <c r="F28" s="191"/>
      <c r="G28" s="299" t="s">
        <v>101</v>
      </c>
      <c r="H28" s="257"/>
      <c r="I28" s="116" t="e">
        <f t="shared" si="3"/>
        <v>#N/A</v>
      </c>
      <c r="J28" s="207">
        <f t="shared" si="4"/>
        <v>0</v>
      </c>
      <c r="K28" s="116" t="e">
        <f t="shared" si="5"/>
        <v>#N/A</v>
      </c>
    </row>
    <row r="29" spans="1:11" ht="27.6" x14ac:dyDescent="0.3">
      <c r="A29" s="216" t="s">
        <v>309</v>
      </c>
      <c r="B29" s="290" t="s">
        <v>262</v>
      </c>
      <c r="C29" s="291" t="s">
        <v>310</v>
      </c>
      <c r="D29" s="223"/>
      <c r="E29" s="229"/>
      <c r="F29" s="272"/>
      <c r="G29" s="293" t="s">
        <v>101</v>
      </c>
      <c r="H29" s="257"/>
      <c r="I29" s="116" t="e">
        <f t="shared" si="3"/>
        <v>#N/A</v>
      </c>
      <c r="J29" s="207">
        <f t="shared" si="4"/>
        <v>0</v>
      </c>
      <c r="K29" s="116" t="e">
        <f t="shared" si="5"/>
        <v>#N/A</v>
      </c>
    </row>
    <row r="30" spans="1:11" ht="15.6" x14ac:dyDescent="0.3">
      <c r="A30" s="305"/>
      <c r="B30" s="306"/>
      <c r="C30" s="307" t="s">
        <v>311</v>
      </c>
      <c r="D30" s="308"/>
      <c r="E30" s="309"/>
      <c r="F30" s="285"/>
      <c r="G30" s="310"/>
      <c r="H30" s="257"/>
      <c r="I30" s="116"/>
      <c r="J30" s="207"/>
      <c r="K30" s="116"/>
    </row>
    <row r="31" spans="1:11" ht="30" customHeight="1" x14ac:dyDescent="0.3">
      <c r="A31" s="210"/>
      <c r="B31" s="211"/>
      <c r="C31" s="212" t="s">
        <v>312</v>
      </c>
      <c r="D31" s="213"/>
      <c r="E31" s="214"/>
      <c r="F31" s="181"/>
      <c r="G31" s="215"/>
      <c r="H31" s="257"/>
      <c r="I31" s="116"/>
      <c r="J31" s="207"/>
      <c r="K31" s="116"/>
    </row>
    <row r="32" spans="1:11" ht="30" customHeight="1" x14ac:dyDescent="0.3">
      <c r="A32" s="216" t="s">
        <v>313</v>
      </c>
      <c r="B32" s="203" t="s">
        <v>262</v>
      </c>
      <c r="C32" s="217" t="s">
        <v>314</v>
      </c>
      <c r="D32" s="218"/>
      <c r="E32" s="219"/>
      <c r="F32" s="191"/>
      <c r="G32" s="296" t="s">
        <v>101</v>
      </c>
      <c r="H32" s="257"/>
      <c r="I32" s="116" t="e">
        <f>IF(NOT(ISBLANK($B32)),VLOOKUP($B32,specdata,2,FALSE()),"")</f>
        <v>#N/A</v>
      </c>
      <c r="J32" s="207">
        <f>VLOOKUP(G32,AvailabilityData,2,FALSE())</f>
        <v>0</v>
      </c>
      <c r="K32" s="116" t="e">
        <f>I32*J32</f>
        <v>#N/A</v>
      </c>
    </row>
    <row r="33" spans="1:11" ht="30" customHeight="1" x14ac:dyDescent="0.3">
      <c r="A33" s="216" t="s">
        <v>315</v>
      </c>
      <c r="B33" s="290" t="s">
        <v>262</v>
      </c>
      <c r="C33" s="222" t="s">
        <v>316</v>
      </c>
      <c r="D33" s="223"/>
      <c r="E33" s="229"/>
      <c r="F33" s="272"/>
      <c r="G33" s="293" t="s">
        <v>101</v>
      </c>
      <c r="H33" s="257"/>
      <c r="I33" s="116" t="e">
        <f>IF(NOT(ISBLANK($B33)),VLOOKUP($B33,specdata,2,FALSE()),"")</f>
        <v>#N/A</v>
      </c>
      <c r="J33" s="207">
        <f>VLOOKUP(G33,AvailabilityData,2,FALSE())</f>
        <v>0</v>
      </c>
      <c r="K33" s="116" t="e">
        <f>I33*J33</f>
        <v>#N/A</v>
      </c>
    </row>
    <row r="34" spans="1:11" ht="15.6" x14ac:dyDescent="0.3">
      <c r="A34" s="305"/>
      <c r="B34" s="306"/>
      <c r="C34" s="307" t="s">
        <v>168</v>
      </c>
      <c r="D34" s="308"/>
      <c r="E34" s="309"/>
      <c r="F34" s="285"/>
      <c r="G34" s="310"/>
      <c r="H34" s="257"/>
      <c r="I34" s="116"/>
      <c r="J34" s="207"/>
      <c r="K34" s="116"/>
    </row>
    <row r="35" spans="1:11" ht="15.6" x14ac:dyDescent="0.3">
      <c r="A35" s="210"/>
      <c r="B35" s="211"/>
      <c r="C35" s="212" t="s">
        <v>185</v>
      </c>
      <c r="D35" s="213"/>
      <c r="E35" s="214"/>
      <c r="F35" s="181"/>
      <c r="G35" s="215"/>
      <c r="H35" s="257"/>
      <c r="I35" s="116"/>
      <c r="J35" s="207"/>
      <c r="K35" s="116"/>
    </row>
    <row r="36" spans="1:11" ht="30" customHeight="1" x14ac:dyDescent="0.3">
      <c r="A36" s="216" t="s">
        <v>317</v>
      </c>
      <c r="B36" s="203" t="s">
        <v>262</v>
      </c>
      <c r="C36" s="217" t="s">
        <v>170</v>
      </c>
      <c r="D36" s="218"/>
      <c r="E36" s="219"/>
      <c r="F36" s="191"/>
      <c r="G36" s="296" t="s">
        <v>101</v>
      </c>
      <c r="H36" s="257"/>
      <c r="I36" s="116" t="e">
        <f>IF(NOT(ISBLANK($B36)),VLOOKUP($B36,specdata,2,FALSE()),"")</f>
        <v>#N/A</v>
      </c>
      <c r="J36" s="207">
        <f>VLOOKUP(G36,AvailabilityData,2,FALSE())</f>
        <v>0</v>
      </c>
      <c r="K36" s="116" t="e">
        <f>I36*J36</f>
        <v>#N/A</v>
      </c>
    </row>
    <row r="37" spans="1:11" ht="30" customHeight="1" x14ac:dyDescent="0.3">
      <c r="A37" s="216" t="s">
        <v>318</v>
      </c>
      <c r="B37" s="297" t="s">
        <v>262</v>
      </c>
      <c r="C37" s="221" t="s">
        <v>171</v>
      </c>
      <c r="D37" s="209"/>
      <c r="E37" s="219"/>
      <c r="F37" s="191"/>
      <c r="G37" s="299" t="s">
        <v>101</v>
      </c>
      <c r="H37" s="257"/>
      <c r="I37" s="116" t="e">
        <f>IF(NOT(ISBLANK($B37)),VLOOKUP($B37,specdata,2,FALSE()),"")</f>
        <v>#N/A</v>
      </c>
      <c r="J37" s="207">
        <f>VLOOKUP(G37,AvailabilityData,2,FALSE())</f>
        <v>0</v>
      </c>
      <c r="K37" s="116" t="e">
        <f>I37*J37</f>
        <v>#N/A</v>
      </c>
    </row>
    <row r="38" spans="1:11" ht="30" customHeight="1" x14ac:dyDescent="0.3">
      <c r="A38" s="216" t="s">
        <v>319</v>
      </c>
      <c r="B38" s="297" t="s">
        <v>262</v>
      </c>
      <c r="C38" s="221" t="s">
        <v>172</v>
      </c>
      <c r="D38" s="298"/>
      <c r="E38" s="219"/>
      <c r="F38" s="191"/>
      <c r="G38" s="299" t="s">
        <v>101</v>
      </c>
      <c r="H38" s="257"/>
      <c r="I38" s="116" t="e">
        <f>IF(NOT(ISBLANK($B38)),VLOOKUP($B38,specdata,2,FALSE()),"")</f>
        <v>#N/A</v>
      </c>
      <c r="J38" s="207">
        <f>VLOOKUP(G38,AvailabilityData,2,FALSE())</f>
        <v>0</v>
      </c>
      <c r="K38" s="116" t="e">
        <f>I38*J38</f>
        <v>#N/A</v>
      </c>
    </row>
    <row r="39" spans="1:11" ht="30" customHeight="1" x14ac:dyDescent="0.3">
      <c r="A39" s="216" t="s">
        <v>320</v>
      </c>
      <c r="B39" s="311" t="s">
        <v>262</v>
      </c>
      <c r="C39" s="312" t="s">
        <v>173</v>
      </c>
      <c r="D39" s="292"/>
      <c r="E39" s="229"/>
      <c r="F39" s="272"/>
      <c r="G39" s="293" t="s">
        <v>101</v>
      </c>
      <c r="H39" s="257"/>
      <c r="I39" s="116" t="e">
        <f>IF(NOT(ISBLANK($B39)),VLOOKUP($B39,specdata,2,FALSE()),"")</f>
        <v>#N/A</v>
      </c>
      <c r="J39" s="207">
        <f>VLOOKUP(G39,AvailabilityData,2,FALSE())</f>
        <v>0</v>
      </c>
      <c r="K39" s="116" t="e">
        <f>I39*J39</f>
        <v>#N/A</v>
      </c>
    </row>
    <row r="40" spans="1:11" ht="15.6" x14ac:dyDescent="0.3">
      <c r="A40" s="210"/>
      <c r="B40" s="211"/>
      <c r="C40" s="212" t="s">
        <v>165</v>
      </c>
      <c r="D40" s="294"/>
      <c r="E40" s="214"/>
      <c r="F40" s="181"/>
      <c r="G40" s="215"/>
      <c r="H40" s="257"/>
      <c r="I40" s="116"/>
      <c r="J40" s="207"/>
      <c r="K40" s="116"/>
    </row>
    <row r="41" spans="1:11" ht="30" customHeight="1" x14ac:dyDescent="0.3">
      <c r="A41" s="216" t="s">
        <v>321</v>
      </c>
      <c r="B41" s="203" t="s">
        <v>262</v>
      </c>
      <c r="C41" s="232" t="s">
        <v>208</v>
      </c>
      <c r="D41" s="295"/>
      <c r="E41" s="219"/>
      <c r="F41" s="191"/>
      <c r="G41" s="296" t="s">
        <v>101</v>
      </c>
      <c r="H41" s="257"/>
      <c r="I41" s="116" t="e">
        <f>IF(NOT(ISBLANK($B41)),VLOOKUP($B41,specdata,2,FALSE()),"")</f>
        <v>#N/A</v>
      </c>
      <c r="J41" s="207">
        <f>VLOOKUP(G41,AvailabilityData,2,FALSE())</f>
        <v>0</v>
      </c>
      <c r="K41" s="116" t="e">
        <f>I41*J41</f>
        <v>#N/A</v>
      </c>
    </row>
    <row r="42" spans="1:11" ht="30" customHeight="1" x14ac:dyDescent="0.3">
      <c r="A42" s="216" t="s">
        <v>322</v>
      </c>
      <c r="B42" s="203" t="s">
        <v>262</v>
      </c>
      <c r="C42" s="232" t="s">
        <v>323</v>
      </c>
      <c r="D42" s="298"/>
      <c r="E42" s="219"/>
      <c r="F42" s="191"/>
      <c r="G42" s="299" t="s">
        <v>101</v>
      </c>
      <c r="H42" s="257"/>
      <c r="I42" s="116" t="e">
        <f>IF(NOT(ISBLANK($B42)),VLOOKUP($B42,specdata,2,FALSE()),"")</f>
        <v>#N/A</v>
      </c>
      <c r="J42" s="207">
        <f>VLOOKUP(G42,AvailabilityData,2,FALSE())</f>
        <v>0</v>
      </c>
      <c r="K42" s="116" t="e">
        <f>I42*J42</f>
        <v>#N/A</v>
      </c>
    </row>
    <row r="43" spans="1:11" ht="30" customHeight="1" x14ac:dyDescent="0.3">
      <c r="A43" s="216" t="s">
        <v>324</v>
      </c>
      <c r="B43" s="203" t="s">
        <v>262</v>
      </c>
      <c r="C43" s="232" t="s">
        <v>210</v>
      </c>
      <c r="D43" s="298"/>
      <c r="E43" s="219"/>
      <c r="F43" s="191"/>
      <c r="G43" s="299" t="s">
        <v>101</v>
      </c>
      <c r="H43" s="257"/>
      <c r="I43" s="116" t="e">
        <f>IF(NOT(ISBLANK($B43)),VLOOKUP($B43,specdata,2,FALSE()),"")</f>
        <v>#N/A</v>
      </c>
      <c r="J43" s="207">
        <f>VLOOKUP(G43,AvailabilityData,2,FALSE())</f>
        <v>0</v>
      </c>
      <c r="K43" s="116" t="e">
        <f>I43*J43</f>
        <v>#N/A</v>
      </c>
    </row>
    <row r="44" spans="1:11" ht="30" customHeight="1" x14ac:dyDescent="0.3">
      <c r="A44" s="216" t="s">
        <v>325</v>
      </c>
      <c r="B44" s="311" t="s">
        <v>262</v>
      </c>
      <c r="C44" s="227" t="s">
        <v>211</v>
      </c>
      <c r="D44" s="292"/>
      <c r="E44" s="229"/>
      <c r="F44" s="272"/>
      <c r="G44" s="293" t="s">
        <v>101</v>
      </c>
      <c r="H44" s="257"/>
      <c r="I44" s="116" t="e">
        <f>IF(NOT(ISBLANK($B44)),VLOOKUP($B44,specdata,2,FALSE()),"")</f>
        <v>#N/A</v>
      </c>
      <c r="J44" s="207">
        <f>VLOOKUP(G44,AvailabilityData,2,FALSE())</f>
        <v>0</v>
      </c>
      <c r="K44" s="116" t="e">
        <f>I44*J44</f>
        <v>#N/A</v>
      </c>
    </row>
    <row r="45" spans="1:11" ht="15.6" x14ac:dyDescent="0.3">
      <c r="A45" s="210"/>
      <c r="B45" s="211"/>
      <c r="C45" s="212" t="s">
        <v>174</v>
      </c>
      <c r="D45" s="294"/>
      <c r="E45" s="214"/>
      <c r="F45" s="181"/>
      <c r="G45" s="215"/>
      <c r="H45" s="257"/>
      <c r="I45" s="116"/>
      <c r="J45" s="207"/>
      <c r="K45" s="116"/>
    </row>
    <row r="46" spans="1:11" ht="30" customHeight="1" x14ac:dyDescent="0.3">
      <c r="A46" s="216" t="s">
        <v>326</v>
      </c>
      <c r="B46" s="203" t="s">
        <v>262</v>
      </c>
      <c r="C46" s="232" t="s">
        <v>258</v>
      </c>
      <c r="D46" s="295"/>
      <c r="E46" s="219"/>
      <c r="F46" s="191"/>
      <c r="G46" s="296" t="s">
        <v>101</v>
      </c>
      <c r="H46" s="257"/>
      <c r="I46" s="116" t="e">
        <f>IF(NOT(ISBLANK($B46)),VLOOKUP($B46,specdata,2,FALSE()),"")</f>
        <v>#N/A</v>
      </c>
      <c r="J46" s="207">
        <f>VLOOKUP(G46,AvailabilityData,2,FALSE())</f>
        <v>0</v>
      </c>
      <c r="K46" s="116" t="e">
        <f>I46*J46</f>
        <v>#N/A</v>
      </c>
    </row>
    <row r="47" spans="1:11" ht="27.6" x14ac:dyDescent="0.3">
      <c r="A47" s="216" t="s">
        <v>327</v>
      </c>
      <c r="B47" s="203" t="s">
        <v>262</v>
      </c>
      <c r="C47" s="208" t="s">
        <v>328</v>
      </c>
      <c r="D47" s="298"/>
      <c r="E47" s="219"/>
      <c r="F47" s="191"/>
      <c r="G47" s="299" t="s">
        <v>101</v>
      </c>
      <c r="H47" s="257"/>
      <c r="I47" s="116" t="e">
        <f>IF(NOT(ISBLANK($B47)),VLOOKUP($B47,specdata,2,FALSE()),"")</f>
        <v>#N/A</v>
      </c>
      <c r="J47" s="207">
        <f>VLOOKUP(G47,AvailabilityData,2,FALSE())</f>
        <v>0</v>
      </c>
      <c r="K47" s="116" t="e">
        <f>I47*J47</f>
        <v>#N/A</v>
      </c>
    </row>
    <row r="48" spans="1:11" ht="41.4" x14ac:dyDescent="0.3">
      <c r="A48" s="216" t="s">
        <v>329</v>
      </c>
      <c r="B48" s="203" t="s">
        <v>262</v>
      </c>
      <c r="C48" s="208" t="s">
        <v>193</v>
      </c>
      <c r="D48" s="298"/>
      <c r="E48" s="219"/>
      <c r="F48" s="191"/>
      <c r="G48" s="299" t="s">
        <v>101</v>
      </c>
      <c r="H48" s="257"/>
      <c r="I48" s="116" t="e">
        <f>IF(NOT(ISBLANK($B48)),VLOOKUP($B48,specdata,2,FALSE()),"")</f>
        <v>#N/A</v>
      </c>
      <c r="J48" s="207">
        <f>VLOOKUP(G48,AvailabilityData,2,FALSE())</f>
        <v>0</v>
      </c>
      <c r="K48" s="116" t="e">
        <f>I48*J48</f>
        <v>#N/A</v>
      </c>
    </row>
    <row r="49" spans="1:11" ht="27.6" x14ac:dyDescent="0.3">
      <c r="A49" s="216" t="s">
        <v>330</v>
      </c>
      <c r="B49" s="203" t="s">
        <v>262</v>
      </c>
      <c r="C49" s="208" t="s">
        <v>331</v>
      </c>
      <c r="D49" s="298"/>
      <c r="E49" s="219"/>
      <c r="F49" s="191"/>
      <c r="G49" s="299" t="s">
        <v>101</v>
      </c>
      <c r="H49" s="257"/>
      <c r="I49" s="116" t="e">
        <f>IF(NOT(ISBLANK($B49)),VLOOKUP($B49,specdata,2,FALSE()),"")</f>
        <v>#N/A</v>
      </c>
      <c r="J49" s="207">
        <f>VLOOKUP(G49,AvailabilityData,2,FALSE())</f>
        <v>0</v>
      </c>
      <c r="K49" s="116" t="e">
        <f>I49*J49</f>
        <v>#N/A</v>
      </c>
    </row>
  </sheetData>
  <conditionalFormatting sqref="B1:B1048576">
    <cfRule type="cellIs" dxfId="284" priority="4" operator="equal">
      <formula>"Not Needed"</formula>
    </cfRule>
    <cfRule type="cellIs" dxfId="283" priority="5" operator="equal">
      <formula>"Highly Advantageous"</formula>
    </cfRule>
    <cfRule type="cellIs" dxfId="282" priority="6" operator="equal">
      <formula>"Extremely Advantageous"</formula>
    </cfRule>
  </conditionalFormatting>
  <conditionalFormatting sqref="G1:G1048576">
    <cfRule type="cellIs" dxfId="281" priority="2" operator="equal">
      <formula>"Exception"</formula>
    </cfRule>
  </conditionalFormatting>
  <conditionalFormatting sqref="G3:G49">
    <cfRule type="cellIs" dxfId="280" priority="3"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49" xr:uid="{00000000-0002-0000-0B00-000000000000}">
      <formula1>SpecType</formula1>
      <formula2>0</formula2>
    </dataValidation>
    <dataValidation type="list" allowBlank="1" showInputMessage="1" showErrorMessage="1" sqref="G3:G49" xr:uid="{00000000-0002-0000-0B00-000001000000}">
      <formula1>Availability</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January, 2024 ©&amp;R&amp;"Arial,Bold"&amp;10&amp;P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K32"/>
  <sheetViews>
    <sheetView zoomScale="90" zoomScaleNormal="90" zoomScalePageLayoutView="90" workbookViewId="0">
      <selection activeCell="C20" sqref="C20"/>
    </sheetView>
  </sheetViews>
  <sheetFormatPr defaultColWidth="9" defaultRowHeight="15.6" x14ac:dyDescent="0.3"/>
  <cols>
    <col min="1" max="1" width="12.59765625" style="113" customWidth="1"/>
    <col min="2" max="2" width="14.59765625" style="113" customWidth="1"/>
    <col min="3" max="3" width="65.59765625" style="157" customWidth="1"/>
    <col min="4" max="4" width="65.59765625" style="115" customWidth="1"/>
    <col min="5" max="5" width="10.59765625" style="115" customWidth="1"/>
    <col min="6" max="6" width="6.59765625" style="115" customWidth="1"/>
    <col min="7" max="7" width="30.59765625" style="115" customWidth="1"/>
    <col min="8" max="11" width="8.59765625" style="115" customWidth="1"/>
    <col min="12" max="16384" width="9" style="115"/>
  </cols>
  <sheetData>
    <row r="1" spans="1:11" s="124" customFormat="1" ht="105" customHeight="1" x14ac:dyDescent="0.25">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row>
    <row r="2" spans="1:11" x14ac:dyDescent="0.3">
      <c r="A2" s="313" t="s">
        <v>332</v>
      </c>
      <c r="B2" s="314"/>
      <c r="C2" s="315"/>
      <c r="D2" s="258"/>
      <c r="E2" s="235"/>
      <c r="F2" s="235"/>
      <c r="G2" s="235"/>
      <c r="H2" s="115">
        <f>COUNTA(B3:B32)</f>
        <v>23</v>
      </c>
      <c r="K2" s="115" t="e">
        <f>SUM(K3:K32)</f>
        <v>#N/A</v>
      </c>
    </row>
    <row r="3" spans="1:11" ht="30" customHeight="1" x14ac:dyDescent="0.3">
      <c r="A3" s="316"/>
      <c r="B3" s="126"/>
      <c r="C3" s="317" t="s">
        <v>333</v>
      </c>
      <c r="D3" s="128"/>
      <c r="E3" s="180"/>
      <c r="F3" s="181"/>
      <c r="G3" s="182"/>
      <c r="H3" s="115">
        <f>COUNTIF(G:G,"=Select from Drop Down List")</f>
        <v>23</v>
      </c>
      <c r="I3" s="116"/>
      <c r="J3" s="116"/>
      <c r="K3" s="116"/>
    </row>
    <row r="4" spans="1:11" ht="31.2" x14ac:dyDescent="0.3">
      <c r="A4" s="318" t="s">
        <v>334</v>
      </c>
      <c r="B4" s="260" t="s">
        <v>262</v>
      </c>
      <c r="C4" s="319" t="s">
        <v>335</v>
      </c>
      <c r="D4" s="192"/>
      <c r="E4" s="172"/>
      <c r="F4" s="230">
        <v>1</v>
      </c>
      <c r="G4" s="230" t="s">
        <v>101</v>
      </c>
      <c r="H4" s="115">
        <f>COUNTIF(G:G,"=Function Available")</f>
        <v>0</v>
      </c>
      <c r="I4" s="116" t="e">
        <f>IF(NOT(ISBLANK($B4)),VLOOKUP($B4,specdata,2,FALSE()),"")</f>
        <v>#N/A</v>
      </c>
      <c r="J4" s="116">
        <f>VLOOKUP(G4,AvailabilityData,2,FALSE())</f>
        <v>0</v>
      </c>
      <c r="K4" s="116" t="e">
        <f>I4*J4</f>
        <v>#N/A</v>
      </c>
    </row>
    <row r="5" spans="1:11" ht="30" customHeight="1" x14ac:dyDescent="0.3">
      <c r="A5" s="316"/>
      <c r="B5" s="126"/>
      <c r="C5" s="178" t="s">
        <v>336</v>
      </c>
      <c r="D5" s="194"/>
      <c r="E5" s="180"/>
      <c r="F5" s="181"/>
      <c r="G5" s="182"/>
      <c r="H5" s="115">
        <f>COUNTIF(F:G,"=Function Not Available")</f>
        <v>0</v>
      </c>
      <c r="I5" s="116"/>
      <c r="J5" s="116"/>
      <c r="K5" s="116"/>
    </row>
    <row r="6" spans="1:11" ht="30" customHeight="1" x14ac:dyDescent="0.3">
      <c r="A6" s="259" t="s">
        <v>337</v>
      </c>
      <c r="B6" s="183" t="s">
        <v>262</v>
      </c>
      <c r="C6" s="320" t="s">
        <v>338</v>
      </c>
      <c r="D6" s="185"/>
      <c r="E6" s="186"/>
      <c r="F6" s="187">
        <v>1</v>
      </c>
      <c r="G6" s="187" t="s">
        <v>101</v>
      </c>
      <c r="H6" s="115">
        <f>COUNTIF(G:G,"=Exception")</f>
        <v>0</v>
      </c>
      <c r="I6" s="116" t="e">
        <f>IF(NOT(ISBLANK($B6)),VLOOKUP($B6,specdata,2,FALSE()),"")</f>
        <v>#N/A</v>
      </c>
      <c r="J6" s="116">
        <f>VLOOKUP(G6,AvailabilityData,2,FALSE())</f>
        <v>0</v>
      </c>
      <c r="K6" s="116" t="e">
        <f>I6*J6</f>
        <v>#N/A</v>
      </c>
    </row>
    <row r="7" spans="1:11" ht="30" customHeight="1" x14ac:dyDescent="0.3">
      <c r="A7" s="259" t="s">
        <v>339</v>
      </c>
      <c r="B7" s="133" t="s">
        <v>262</v>
      </c>
      <c r="C7" s="149" t="s">
        <v>340</v>
      </c>
      <c r="D7" s="138"/>
      <c r="E7" s="168"/>
      <c r="F7" s="137">
        <v>1</v>
      </c>
      <c r="G7" s="137" t="s">
        <v>101</v>
      </c>
      <c r="H7" s="321">
        <f>COUNTIFS(B:B,"=Extremely Advantageous",G:G,"=Select from Drop Down List")</f>
        <v>0</v>
      </c>
      <c r="I7" s="116" t="e">
        <f>IF(NOT(ISBLANK($B7)),VLOOKUP($B7,specdata,2,FALSE()),"")</f>
        <v>#N/A</v>
      </c>
      <c r="J7" s="116">
        <f>VLOOKUP(G7,AvailabilityData,2,FALSE())</f>
        <v>0</v>
      </c>
      <c r="K7" s="116" t="e">
        <f>I7*J7</f>
        <v>#N/A</v>
      </c>
    </row>
    <row r="8" spans="1:11" ht="30" customHeight="1" x14ac:dyDescent="0.3">
      <c r="A8" s="259" t="s">
        <v>341</v>
      </c>
      <c r="B8" s="169" t="s">
        <v>262</v>
      </c>
      <c r="C8" s="322" t="s">
        <v>342</v>
      </c>
      <c r="D8" s="323"/>
      <c r="E8" s="175"/>
      <c r="F8" s="176">
        <v>1</v>
      </c>
      <c r="G8" s="137" t="s">
        <v>101</v>
      </c>
      <c r="H8" s="321">
        <f>COUNTIFS(B:B,"=Extremely Advantageous",G:G,"=Function Available")</f>
        <v>0</v>
      </c>
      <c r="I8" s="116" t="e">
        <f>IF(NOT(ISBLANK($B8)),VLOOKUP($B8,specdata,2,FALSE()),"")</f>
        <v>#N/A</v>
      </c>
      <c r="J8" s="116">
        <f>VLOOKUP(G8,AvailabilityData,2,FALSE())</f>
        <v>0</v>
      </c>
      <c r="K8" s="116" t="e">
        <f>I8*J8</f>
        <v>#N/A</v>
      </c>
    </row>
    <row r="9" spans="1:11" ht="30" customHeight="1" x14ac:dyDescent="0.3">
      <c r="A9" s="259" t="s">
        <v>343</v>
      </c>
      <c r="B9" s="169" t="s">
        <v>262</v>
      </c>
      <c r="C9" s="322" t="s">
        <v>344</v>
      </c>
      <c r="D9" s="323"/>
      <c r="E9" s="175"/>
      <c r="F9" s="176">
        <v>1</v>
      </c>
      <c r="G9" s="242" t="s">
        <v>101</v>
      </c>
      <c r="H9" s="321">
        <f>COUNTIFS(B:B,"=Extremely Advantageous",G:G,"=Function Not Available")</f>
        <v>0</v>
      </c>
      <c r="I9" s="116" t="e">
        <f>IF(NOT(ISBLANK($B9)),VLOOKUP($B9,specdata,2,FALSE()),"")</f>
        <v>#N/A</v>
      </c>
      <c r="J9" s="116">
        <f>VLOOKUP(G9,AvailabilityData,2,FALSE())</f>
        <v>0</v>
      </c>
      <c r="K9" s="116" t="e">
        <f>I9*J9</f>
        <v>#N/A</v>
      </c>
    </row>
    <row r="10" spans="1:11" ht="62.4" x14ac:dyDescent="0.3">
      <c r="A10" s="316"/>
      <c r="B10" s="126"/>
      <c r="C10" s="178" t="s">
        <v>345</v>
      </c>
      <c r="D10" s="194"/>
      <c r="E10" s="180"/>
      <c r="F10" s="181"/>
      <c r="G10" s="182"/>
      <c r="H10" s="321">
        <f>COUNTIFS(B:B,"=Extremely Advantageous",G:G,"=Exception")</f>
        <v>0</v>
      </c>
      <c r="I10" s="116"/>
      <c r="J10" s="116"/>
      <c r="K10" s="116"/>
    </row>
    <row r="11" spans="1:11" ht="30" customHeight="1" x14ac:dyDescent="0.3">
      <c r="A11" s="259" t="s">
        <v>346</v>
      </c>
      <c r="B11" s="183" t="s">
        <v>262</v>
      </c>
      <c r="C11" s="278" t="s">
        <v>347</v>
      </c>
      <c r="D11" s="185"/>
      <c r="E11" s="186"/>
      <c r="F11" s="187">
        <v>1</v>
      </c>
      <c r="G11" s="249" t="s">
        <v>101</v>
      </c>
      <c r="H11" s="304">
        <f>COUNTIFS(B:B,"=Advantageous",G:G,"=Select from Drop Down List")</f>
        <v>23</v>
      </c>
      <c r="I11" s="116" t="e">
        <f t="shared" ref="I11:I17" si="0">IF(NOT(ISBLANK($B11)),VLOOKUP($B11,specdata,2,FALSE()),"")</f>
        <v>#N/A</v>
      </c>
      <c r="J11" s="116">
        <f t="shared" ref="J11:J17" si="1">VLOOKUP(G11,AvailabilityData,2,FALSE())</f>
        <v>0</v>
      </c>
      <c r="K11" s="116" t="e">
        <f t="shared" ref="K11:K17" si="2">I11*J11</f>
        <v>#N/A</v>
      </c>
    </row>
    <row r="12" spans="1:11" ht="30" customHeight="1" x14ac:dyDescent="0.3">
      <c r="A12" s="259" t="s">
        <v>348</v>
      </c>
      <c r="B12" s="133" t="s">
        <v>262</v>
      </c>
      <c r="C12" s="324" t="s">
        <v>349</v>
      </c>
      <c r="D12" s="138"/>
      <c r="E12" s="168"/>
      <c r="F12" s="137">
        <v>1</v>
      </c>
      <c r="G12" s="240" t="s">
        <v>101</v>
      </c>
      <c r="H12" s="304">
        <f>COUNTIFS(B:B,"=Advantageous",G:G,"=Function Available")</f>
        <v>0</v>
      </c>
      <c r="I12" s="116" t="e">
        <f t="shared" si="0"/>
        <v>#N/A</v>
      </c>
      <c r="J12" s="116">
        <f t="shared" si="1"/>
        <v>0</v>
      </c>
      <c r="K12" s="116" t="e">
        <f t="shared" si="2"/>
        <v>#N/A</v>
      </c>
    </row>
    <row r="13" spans="1:11" ht="42.75" customHeight="1" x14ac:dyDescent="0.3">
      <c r="A13" s="259" t="s">
        <v>350</v>
      </c>
      <c r="B13" s="133" t="s">
        <v>262</v>
      </c>
      <c r="C13" s="154" t="s">
        <v>351</v>
      </c>
      <c r="D13" s="138"/>
      <c r="E13" s="168"/>
      <c r="F13" s="137">
        <v>1</v>
      </c>
      <c r="G13" s="240" t="s">
        <v>101</v>
      </c>
      <c r="H13" s="304">
        <f>COUNTIFS(B:B,"=Advantageous",G:G,"=Function Not Available")</f>
        <v>0</v>
      </c>
      <c r="I13" s="116" t="e">
        <f t="shared" si="0"/>
        <v>#N/A</v>
      </c>
      <c r="J13" s="116">
        <f t="shared" si="1"/>
        <v>0</v>
      </c>
      <c r="K13" s="116" t="e">
        <f t="shared" si="2"/>
        <v>#N/A</v>
      </c>
    </row>
    <row r="14" spans="1:11" ht="30" customHeight="1" x14ac:dyDescent="0.3">
      <c r="A14" s="259" t="s">
        <v>352</v>
      </c>
      <c r="B14" s="133" t="s">
        <v>262</v>
      </c>
      <c r="C14" s="164" t="s">
        <v>353</v>
      </c>
      <c r="D14" s="138"/>
      <c r="E14" s="168"/>
      <c r="F14" s="137">
        <v>1</v>
      </c>
      <c r="G14" s="240" t="s">
        <v>101</v>
      </c>
      <c r="H14" s="304">
        <f>COUNTIFS(B:B,"=Advantageous",G:G,"=Exception")</f>
        <v>0</v>
      </c>
      <c r="I14" s="116" t="e">
        <f t="shared" si="0"/>
        <v>#N/A</v>
      </c>
      <c r="J14" s="116">
        <f t="shared" si="1"/>
        <v>0</v>
      </c>
      <c r="K14" s="116" t="e">
        <f t="shared" si="2"/>
        <v>#N/A</v>
      </c>
    </row>
    <row r="15" spans="1:11" ht="46.8" x14ac:dyDescent="0.3">
      <c r="A15" s="259" t="s">
        <v>354</v>
      </c>
      <c r="B15" s="183" t="s">
        <v>262</v>
      </c>
      <c r="C15" s="184" t="s">
        <v>355</v>
      </c>
      <c r="D15" s="185"/>
      <c r="E15" s="186"/>
      <c r="F15" s="187">
        <v>1</v>
      </c>
      <c r="G15" s="137" t="s">
        <v>101</v>
      </c>
      <c r="H15" s="257">
        <f>COUNTIFS(B:B,"=Minimal",G:G,"=Select from Drop Down List")</f>
        <v>0</v>
      </c>
      <c r="I15" s="116" t="e">
        <f t="shared" si="0"/>
        <v>#N/A</v>
      </c>
      <c r="J15" s="116">
        <f t="shared" si="1"/>
        <v>0</v>
      </c>
      <c r="K15" s="116" t="e">
        <f t="shared" si="2"/>
        <v>#N/A</v>
      </c>
    </row>
    <row r="16" spans="1:11" ht="41.25" customHeight="1" x14ac:dyDescent="0.3">
      <c r="A16" s="259" t="s">
        <v>356</v>
      </c>
      <c r="B16" s="133" t="s">
        <v>262</v>
      </c>
      <c r="C16" s="325" t="s">
        <v>357</v>
      </c>
      <c r="D16" s="138"/>
      <c r="E16" s="168"/>
      <c r="F16" s="137">
        <v>1</v>
      </c>
      <c r="G16" s="137" t="s">
        <v>101</v>
      </c>
      <c r="H16" s="257">
        <f>COUNTIFS(B:B,"=Minimal",G:G,"=Function Available")</f>
        <v>0</v>
      </c>
      <c r="I16" s="116" t="e">
        <f t="shared" si="0"/>
        <v>#N/A</v>
      </c>
      <c r="J16" s="116">
        <f t="shared" si="1"/>
        <v>0</v>
      </c>
      <c r="K16" s="116" t="e">
        <f t="shared" si="2"/>
        <v>#N/A</v>
      </c>
    </row>
    <row r="17" spans="1:11" ht="78" x14ac:dyDescent="0.3">
      <c r="A17" s="259" t="s">
        <v>358</v>
      </c>
      <c r="B17" s="169" t="s">
        <v>262</v>
      </c>
      <c r="C17" s="170" t="s">
        <v>359</v>
      </c>
      <c r="D17" s="323"/>
      <c r="E17" s="175"/>
      <c r="F17" s="176">
        <v>1</v>
      </c>
      <c r="G17" s="176" t="s">
        <v>101</v>
      </c>
      <c r="H17" s="257">
        <f>COUNTIFS(B:B,"=Minimal",G:G,"=Function Not Available")</f>
        <v>0</v>
      </c>
      <c r="I17" s="116" t="e">
        <f t="shared" si="0"/>
        <v>#N/A</v>
      </c>
      <c r="J17" s="116">
        <f t="shared" si="1"/>
        <v>0</v>
      </c>
      <c r="K17" s="116" t="e">
        <f t="shared" si="2"/>
        <v>#N/A</v>
      </c>
    </row>
    <row r="18" spans="1:11" x14ac:dyDescent="0.3">
      <c r="A18" s="316"/>
      <c r="B18" s="126"/>
      <c r="C18" s="178" t="s">
        <v>165</v>
      </c>
      <c r="D18" s="194"/>
      <c r="E18" s="180"/>
      <c r="F18" s="181"/>
      <c r="G18" s="182"/>
      <c r="H18" s="257">
        <f>COUNTIFS(B:B,"=Minimal",G:G,"=Exception")</f>
        <v>0</v>
      </c>
      <c r="I18" s="116"/>
      <c r="J18" s="116"/>
      <c r="K18" s="116"/>
    </row>
    <row r="19" spans="1:11" ht="30" customHeight="1" x14ac:dyDescent="0.3">
      <c r="A19" s="318" t="s">
        <v>360</v>
      </c>
      <c r="B19" s="260" t="s">
        <v>262</v>
      </c>
      <c r="C19" s="319" t="s">
        <v>361</v>
      </c>
      <c r="D19" s="192"/>
      <c r="E19" s="172"/>
      <c r="F19" s="272">
        <v>1</v>
      </c>
      <c r="G19" s="230" t="s">
        <v>101</v>
      </c>
      <c r="I19" s="116" t="e">
        <f>IF(NOT(ISBLANK($B19)),VLOOKUP($B19,specdata,2,FALSE()),"")</f>
        <v>#N/A</v>
      </c>
      <c r="J19" s="116">
        <f>VLOOKUP(G19,AvailabilityData,2,FALSE())</f>
        <v>0</v>
      </c>
      <c r="K19" s="116" t="e">
        <f>I19*J19</f>
        <v>#N/A</v>
      </c>
    </row>
    <row r="20" spans="1:11" x14ac:dyDescent="0.3">
      <c r="A20" s="316"/>
      <c r="B20" s="126"/>
      <c r="C20" s="178" t="s">
        <v>166</v>
      </c>
      <c r="D20" s="194"/>
      <c r="E20" s="180"/>
      <c r="F20" s="181"/>
      <c r="G20" s="182"/>
      <c r="I20" s="116"/>
      <c r="J20" s="116"/>
      <c r="K20" s="116"/>
    </row>
    <row r="21" spans="1:11" ht="30" customHeight="1" x14ac:dyDescent="0.3">
      <c r="A21" s="259" t="s">
        <v>362</v>
      </c>
      <c r="B21" s="183" t="s">
        <v>262</v>
      </c>
      <c r="C21" s="278" t="s">
        <v>363</v>
      </c>
      <c r="D21" s="185"/>
      <c r="E21" s="186"/>
      <c r="F21" s="191">
        <v>1</v>
      </c>
      <c r="G21" s="187" t="s">
        <v>101</v>
      </c>
      <c r="I21" s="116" t="e">
        <f>IF(NOT(ISBLANK($B21)),VLOOKUP($B21,specdata,2,FALSE()),"")</f>
        <v>#N/A</v>
      </c>
      <c r="J21" s="116">
        <f>VLOOKUP(G21,AvailabilityData,2,FALSE())</f>
        <v>0</v>
      </c>
      <c r="K21" s="116" t="e">
        <f>I21*J21</f>
        <v>#N/A</v>
      </c>
    </row>
    <row r="22" spans="1:11" ht="30" customHeight="1" x14ac:dyDescent="0.3">
      <c r="A22" s="259" t="s">
        <v>364</v>
      </c>
      <c r="B22" s="133" t="s">
        <v>262</v>
      </c>
      <c r="C22" s="278" t="s">
        <v>167</v>
      </c>
      <c r="D22" s="138"/>
      <c r="E22" s="186"/>
      <c r="F22" s="166">
        <v>1</v>
      </c>
      <c r="G22" s="137" t="s">
        <v>101</v>
      </c>
      <c r="I22" s="116" t="e">
        <f>IF(NOT(ISBLANK($B22)),VLOOKUP($B22,specdata,2,FALSE()),"")</f>
        <v>#N/A</v>
      </c>
      <c r="J22" s="116">
        <f>VLOOKUP(G22,AvailabilityData,2,FALSE())</f>
        <v>0</v>
      </c>
      <c r="K22" s="116" t="e">
        <f>I22*J22</f>
        <v>#N/A</v>
      </c>
    </row>
    <row r="23" spans="1:11" ht="30" customHeight="1" x14ac:dyDescent="0.3">
      <c r="A23" s="259" t="s">
        <v>365</v>
      </c>
      <c r="B23" s="169" t="s">
        <v>262</v>
      </c>
      <c r="C23" s="190" t="s">
        <v>197</v>
      </c>
      <c r="D23" s="323"/>
      <c r="E23" s="172"/>
      <c r="F23" s="173">
        <v>1</v>
      </c>
      <c r="G23" s="176" t="s">
        <v>101</v>
      </c>
      <c r="I23" s="116" t="e">
        <f>IF(NOT(ISBLANK($B23)),VLOOKUP($B23,specdata,2,FALSE()),"")</f>
        <v>#N/A</v>
      </c>
      <c r="J23" s="116">
        <f>VLOOKUP(G23,AvailabilityData,2,FALSE())</f>
        <v>0</v>
      </c>
      <c r="K23" s="116" t="e">
        <f>I23*J23</f>
        <v>#N/A</v>
      </c>
    </row>
    <row r="24" spans="1:11" x14ac:dyDescent="0.3">
      <c r="A24" s="316"/>
      <c r="B24" s="126"/>
      <c r="C24" s="178" t="s">
        <v>168</v>
      </c>
      <c r="D24" s="194"/>
      <c r="E24" s="180"/>
      <c r="F24" s="181"/>
      <c r="G24" s="182"/>
      <c r="I24" s="116"/>
      <c r="J24" s="116"/>
      <c r="K24" s="116"/>
    </row>
    <row r="25" spans="1:11" ht="30" customHeight="1" x14ac:dyDescent="0.3">
      <c r="A25" s="259" t="s">
        <v>366</v>
      </c>
      <c r="B25" s="183" t="s">
        <v>262</v>
      </c>
      <c r="C25" s="278" t="s">
        <v>170</v>
      </c>
      <c r="D25" s="185"/>
      <c r="E25" s="186"/>
      <c r="F25" s="191">
        <v>1</v>
      </c>
      <c r="G25" s="187" t="s">
        <v>101</v>
      </c>
      <c r="I25" s="116" t="e">
        <f>IF(NOT(ISBLANK($B25)),VLOOKUP($B25,specdata,2,FALSE()),"")</f>
        <v>#N/A</v>
      </c>
      <c r="J25" s="116">
        <f>VLOOKUP(G25,AvailabilityData,2,FALSE())</f>
        <v>0</v>
      </c>
      <c r="K25" s="116" t="e">
        <f>I25*J25</f>
        <v>#N/A</v>
      </c>
    </row>
    <row r="26" spans="1:11" ht="30" customHeight="1" x14ac:dyDescent="0.3">
      <c r="A26" s="259" t="s">
        <v>367</v>
      </c>
      <c r="B26" s="133" t="s">
        <v>262</v>
      </c>
      <c r="C26" s="154" t="s">
        <v>171</v>
      </c>
      <c r="D26" s="138"/>
      <c r="E26" s="186"/>
      <c r="F26" s="166">
        <v>1</v>
      </c>
      <c r="G26" s="137" t="s">
        <v>101</v>
      </c>
      <c r="I26" s="116" t="e">
        <f>IF(NOT(ISBLANK($B26)),VLOOKUP($B26,specdata,2,FALSE()),"")</f>
        <v>#N/A</v>
      </c>
      <c r="J26" s="116">
        <f>VLOOKUP(G26,AvailabilityData,2,FALSE())</f>
        <v>0</v>
      </c>
      <c r="K26" s="116" t="e">
        <f>I26*J26</f>
        <v>#N/A</v>
      </c>
    </row>
    <row r="27" spans="1:11" ht="30" customHeight="1" x14ac:dyDescent="0.3">
      <c r="A27" s="259" t="s">
        <v>368</v>
      </c>
      <c r="B27" s="133" t="s">
        <v>262</v>
      </c>
      <c r="C27" s="154" t="s">
        <v>172</v>
      </c>
      <c r="D27" s="138"/>
      <c r="E27" s="326"/>
      <c r="F27" s="166">
        <v>1</v>
      </c>
      <c r="G27" s="137" t="s">
        <v>101</v>
      </c>
      <c r="I27" s="116" t="e">
        <f>IF(NOT(ISBLANK($B27)),VLOOKUP($B27,specdata,2,FALSE()),"")</f>
        <v>#N/A</v>
      </c>
      <c r="J27" s="116">
        <f>VLOOKUP(G27,AvailabilityData,2,FALSE())</f>
        <v>0</v>
      </c>
      <c r="K27" s="116" t="e">
        <f>I27*J27</f>
        <v>#N/A</v>
      </c>
    </row>
    <row r="28" spans="1:11" ht="30" customHeight="1" x14ac:dyDescent="0.3">
      <c r="A28" s="259" t="s">
        <v>369</v>
      </c>
      <c r="B28" s="169" t="s">
        <v>262</v>
      </c>
      <c r="C28" s="273" t="s">
        <v>173</v>
      </c>
      <c r="D28" s="323"/>
      <c r="E28" s="327"/>
      <c r="F28" s="173">
        <v>1</v>
      </c>
      <c r="G28" s="176" t="s">
        <v>101</v>
      </c>
      <c r="I28" s="116" t="e">
        <f>IF(NOT(ISBLANK($B28)),VLOOKUP($B28,specdata,2,FALSE()),"")</f>
        <v>#N/A</v>
      </c>
      <c r="J28" s="116">
        <f>VLOOKUP(G28,AvailabilityData,2,FALSE())</f>
        <v>0</v>
      </c>
      <c r="K28" s="116" t="e">
        <f>I28*J28</f>
        <v>#N/A</v>
      </c>
    </row>
    <row r="29" spans="1:11" x14ac:dyDescent="0.3">
      <c r="A29" s="316"/>
      <c r="B29" s="126"/>
      <c r="C29" s="178" t="s">
        <v>174</v>
      </c>
      <c r="D29" s="194"/>
      <c r="E29" s="130"/>
      <c r="F29" s="181"/>
      <c r="G29" s="182"/>
      <c r="I29" s="116"/>
      <c r="J29" s="116"/>
      <c r="K29" s="116"/>
    </row>
    <row r="30" spans="1:11" ht="30" customHeight="1" x14ac:dyDescent="0.3">
      <c r="A30" s="259" t="s">
        <v>370</v>
      </c>
      <c r="B30" s="183" t="s">
        <v>262</v>
      </c>
      <c r="C30" s="184" t="s">
        <v>371</v>
      </c>
      <c r="D30" s="185"/>
      <c r="E30" s="328"/>
      <c r="F30" s="191">
        <v>1</v>
      </c>
      <c r="G30" s="187" t="s">
        <v>101</v>
      </c>
      <c r="I30" s="116" t="e">
        <f>IF(NOT(ISBLANK($B30)),VLOOKUP($B30,specdata,2,FALSE()),"")</f>
        <v>#N/A</v>
      </c>
      <c r="J30" s="116">
        <f>VLOOKUP(G30,AvailabilityData,2,FALSE())</f>
        <v>0</v>
      </c>
      <c r="K30" s="116" t="e">
        <f>I30*J30</f>
        <v>#N/A</v>
      </c>
    </row>
    <row r="31" spans="1:11" ht="46.8" x14ac:dyDescent="0.3">
      <c r="A31" s="259" t="s">
        <v>372</v>
      </c>
      <c r="B31" s="133" t="s">
        <v>262</v>
      </c>
      <c r="C31" s="164" t="s">
        <v>193</v>
      </c>
      <c r="D31" s="138"/>
      <c r="E31" s="326"/>
      <c r="F31" s="166">
        <v>1</v>
      </c>
      <c r="G31" s="137" t="s">
        <v>101</v>
      </c>
      <c r="I31" s="116" t="e">
        <f>IF(NOT(ISBLANK($B31)),VLOOKUP($B31,specdata,2,FALSE()),"")</f>
        <v>#N/A</v>
      </c>
      <c r="J31" s="116">
        <f>VLOOKUP(G31,AvailabilityData,2,FALSE())</f>
        <v>0</v>
      </c>
      <c r="K31" s="116" t="e">
        <f>I31*J31</f>
        <v>#N/A</v>
      </c>
    </row>
    <row r="32" spans="1:11" ht="30" customHeight="1" x14ac:dyDescent="0.3">
      <c r="A32" s="259" t="s">
        <v>373</v>
      </c>
      <c r="B32" s="133" t="s">
        <v>262</v>
      </c>
      <c r="C32" s="164" t="s">
        <v>374</v>
      </c>
      <c r="D32" s="138"/>
      <c r="E32" s="326"/>
      <c r="F32" s="166">
        <v>1</v>
      </c>
      <c r="G32" s="137" t="s">
        <v>101</v>
      </c>
      <c r="I32" s="116" t="e">
        <f>IF(NOT(ISBLANK($B32)),VLOOKUP($B32,specdata,2,FALSE()),"")</f>
        <v>#N/A</v>
      </c>
      <c r="J32" s="116">
        <f>VLOOKUP(G32,AvailabilityData,2,FALSE())</f>
        <v>0</v>
      </c>
      <c r="K32" s="116" t="e">
        <f>I32*J32</f>
        <v>#N/A</v>
      </c>
    </row>
  </sheetData>
  <conditionalFormatting sqref="B1:B1048576">
    <cfRule type="cellIs" dxfId="279" priority="3" operator="equal">
      <formula>"Not Needed"</formula>
    </cfRule>
    <cfRule type="cellIs" dxfId="278" priority="4" operator="equal">
      <formula>"Highly Advantageous"</formula>
    </cfRule>
    <cfRule type="cellIs" dxfId="277" priority="5" operator="equal">
      <formula>"Extremely Advantageous"</formula>
    </cfRule>
  </conditionalFormatting>
  <conditionalFormatting sqref="G1:G1048576">
    <cfRule type="cellIs" dxfId="276" priority="2" operator="equal">
      <formula>"Exception"</formula>
    </cfRule>
  </conditionalFormatting>
  <conditionalFormatting sqref="G3:G32">
    <cfRule type="cellIs" dxfId="275" priority="6"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32" xr:uid="{00000000-0002-0000-0C00-000000000000}">
      <formula1>SpecType</formula1>
      <formula2>0</formula2>
    </dataValidation>
    <dataValidation type="list" allowBlank="1" showInputMessage="1" showErrorMessage="1" sqref="G3:G32" xr:uid="{00000000-0002-0000-0C00-000001000000}">
      <formula1>Availability</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January, 2024 ©&amp;R&amp;"Arial,Bold"&amp;10&amp;P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D8E5B1"/>
    <pageSetUpPr fitToPage="1"/>
  </sheetPr>
  <dimension ref="A1:P22"/>
  <sheetViews>
    <sheetView topLeftCell="C1" zoomScaleNormal="100" zoomScalePageLayoutView="90" workbookViewId="0">
      <selection activeCell="G1" sqref="G1"/>
    </sheetView>
  </sheetViews>
  <sheetFormatPr defaultColWidth="9" defaultRowHeight="13.8" x14ac:dyDescent="0.25"/>
  <cols>
    <col min="1" max="1" width="12.59765625" style="195" customWidth="1"/>
    <col min="2" max="2" width="14.59765625" style="195" customWidth="1"/>
    <col min="3" max="3" width="65.59765625" style="196" customWidth="1"/>
    <col min="4" max="4" width="65.59765625" style="197" customWidth="1"/>
    <col min="5" max="5" width="10.59765625" style="197" customWidth="1"/>
    <col min="6" max="6" width="6.59765625" style="197" customWidth="1"/>
    <col min="7" max="7" width="30.59765625" style="197" customWidth="1"/>
    <col min="8" max="11" width="8.59765625" style="329" customWidth="1"/>
    <col min="12" max="16384" width="9" style="197"/>
  </cols>
  <sheetData>
    <row r="1" spans="1:16" s="124" customFormat="1" ht="105" customHeight="1" x14ac:dyDescent="0.25">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c r="L1" s="123" t="s">
        <v>104</v>
      </c>
    </row>
    <row r="2" spans="1:16" ht="15.6" x14ac:dyDescent="0.25">
      <c r="A2" s="330" t="s">
        <v>375</v>
      </c>
      <c r="B2" s="161"/>
      <c r="C2" s="199"/>
      <c r="D2" s="200"/>
      <c r="E2" s="201"/>
      <c r="F2" s="201"/>
      <c r="G2" s="201"/>
      <c r="H2" s="329">
        <f>COUNTA(B3:B22)</f>
        <v>19</v>
      </c>
      <c r="K2" s="131">
        <f>SUM(K3:K22)</f>
        <v>0</v>
      </c>
    </row>
    <row r="3" spans="1:16" ht="16.5" customHeight="1" x14ac:dyDescent="0.25">
      <c r="A3" s="202" t="str">
        <f>IF(L3=1,"BI-"&amp;TEXT(COUNTIF($L$3:L3, "1"), "0"), "")</f>
        <v>BI-1</v>
      </c>
      <c r="B3" s="297" t="s">
        <v>42</v>
      </c>
      <c r="C3" s="232" t="s">
        <v>376</v>
      </c>
      <c r="D3" s="331"/>
      <c r="E3" s="205"/>
      <c r="F3" s="166"/>
      <c r="G3" s="206" t="s">
        <v>101</v>
      </c>
      <c r="H3" s="131">
        <f>COUNTIF(G:G,"=Select from Drop Down List")</f>
        <v>19</v>
      </c>
      <c r="I3" s="131">
        <f t="shared" ref="I3:I17" si="0">IF(NOT(ISBLANK($B3)),VLOOKUP($B3,specdata,2,FALSE()),"")</f>
        <v>5</v>
      </c>
      <c r="J3" s="329">
        <f t="shared" ref="J3:J17" si="1">VLOOKUP(G3,AvailabilityData,2,FALSE())</f>
        <v>0</v>
      </c>
      <c r="K3" s="131">
        <f t="shared" ref="K3:K17" si="2">I3*J3</f>
        <v>0</v>
      </c>
      <c r="L3" s="197">
        <v>1</v>
      </c>
      <c r="N3" s="858" t="s">
        <v>107</v>
      </c>
      <c r="O3" s="858"/>
      <c r="P3" s="858"/>
    </row>
    <row r="4" spans="1:16" ht="30" customHeight="1" x14ac:dyDescent="0.25">
      <c r="A4" s="202" t="str">
        <f>IF(L4=1,"BI-"&amp;TEXT(COUNTIF($L$3:L4, "1"), "0"), "")</f>
        <v>BI-2</v>
      </c>
      <c r="B4" s="297" t="s">
        <v>43</v>
      </c>
      <c r="C4" s="291" t="s">
        <v>377</v>
      </c>
      <c r="D4" s="138"/>
      <c r="E4" s="205"/>
      <c r="F4" s="166"/>
      <c r="G4" s="206" t="s">
        <v>101</v>
      </c>
      <c r="H4" s="131">
        <f>COUNTIF(G:G,"=Function Available")</f>
        <v>0</v>
      </c>
      <c r="I4" s="131">
        <f t="shared" si="0"/>
        <v>1</v>
      </c>
      <c r="J4" s="329">
        <f t="shared" si="1"/>
        <v>0</v>
      </c>
      <c r="K4" s="131">
        <f t="shared" si="2"/>
        <v>0</v>
      </c>
      <c r="L4" s="197">
        <v>1</v>
      </c>
      <c r="N4" s="858"/>
      <c r="O4" s="858"/>
      <c r="P4" s="858"/>
    </row>
    <row r="5" spans="1:16" ht="46.8" x14ac:dyDescent="0.25">
      <c r="A5" s="202" t="str">
        <f>IF(L5=1,"BI-"&amp;TEXT(COUNTIF($L$3:L5, "1"), "0"), "")</f>
        <v>BI-3</v>
      </c>
      <c r="B5" s="297" t="s">
        <v>43</v>
      </c>
      <c r="C5" s="164" t="s">
        <v>378</v>
      </c>
      <c r="D5" s="295"/>
      <c r="E5" s="205"/>
      <c r="F5" s="166"/>
      <c r="G5" s="206" t="s">
        <v>101</v>
      </c>
      <c r="H5" s="131">
        <f>COUNTIF(F:G,"=Function Not Available")</f>
        <v>0</v>
      </c>
      <c r="I5" s="131">
        <f t="shared" si="0"/>
        <v>1</v>
      </c>
      <c r="J5" s="329">
        <f t="shared" si="1"/>
        <v>0</v>
      </c>
      <c r="K5" s="131">
        <f t="shared" si="2"/>
        <v>0</v>
      </c>
      <c r="L5" s="197">
        <v>1</v>
      </c>
      <c r="N5" s="858"/>
      <c r="O5" s="858"/>
      <c r="P5" s="858"/>
    </row>
    <row r="6" spans="1:16" ht="27.6" x14ac:dyDescent="0.25">
      <c r="A6" s="202" t="str">
        <f>IF(L6=1,"BI-"&amp;TEXT(COUNTIF($L$3:L6, "1"), "0"), "")</f>
        <v>BI-4</v>
      </c>
      <c r="B6" s="297" t="s">
        <v>43</v>
      </c>
      <c r="C6" s="232" t="s">
        <v>379</v>
      </c>
      <c r="D6" s="331"/>
      <c r="E6" s="205"/>
      <c r="F6" s="166"/>
      <c r="G6" s="206" t="s">
        <v>101</v>
      </c>
      <c r="H6" s="131">
        <f>COUNTIF(G:G,"=Exception")</f>
        <v>0</v>
      </c>
      <c r="I6" s="131">
        <f t="shared" si="0"/>
        <v>1</v>
      </c>
      <c r="J6" s="329">
        <f t="shared" si="1"/>
        <v>0</v>
      </c>
      <c r="K6" s="131">
        <f t="shared" si="2"/>
        <v>0</v>
      </c>
      <c r="L6" s="197">
        <v>1</v>
      </c>
      <c r="N6" s="858"/>
      <c r="O6" s="858"/>
      <c r="P6" s="858"/>
    </row>
    <row r="7" spans="1:16" ht="15.6" x14ac:dyDescent="0.25">
      <c r="A7" s="202" t="str">
        <f>IF(L7=1,"BI-"&amp;TEXT(COUNTIF($L$3:L7, "1"), "0"), "")</f>
        <v>BI-5</v>
      </c>
      <c r="B7" s="297" t="s">
        <v>43</v>
      </c>
      <c r="C7" s="232" t="s">
        <v>380</v>
      </c>
      <c r="D7" s="331"/>
      <c r="E7" s="205"/>
      <c r="F7" s="173"/>
      <c r="G7" s="206" t="s">
        <v>101</v>
      </c>
      <c r="H7" s="140">
        <f>COUNTIFS(B:B,"=Critical",G:G,"=Select from Drop Down List")</f>
        <v>3</v>
      </c>
      <c r="I7" s="131">
        <f t="shared" si="0"/>
        <v>1</v>
      </c>
      <c r="J7" s="329">
        <f t="shared" si="1"/>
        <v>0</v>
      </c>
      <c r="K7" s="131">
        <f t="shared" si="2"/>
        <v>0</v>
      </c>
      <c r="L7" s="197">
        <v>1</v>
      </c>
    </row>
    <row r="8" spans="1:16" ht="30" customHeight="1" x14ac:dyDescent="0.25">
      <c r="A8" s="202" t="str">
        <f>IF(L8=1,"BI-"&amp;TEXT(COUNTIF($L$3:L8, "1"), "0"), "")</f>
        <v>BI-6</v>
      </c>
      <c r="B8" s="297" t="s">
        <v>43</v>
      </c>
      <c r="C8" s="232" t="s">
        <v>181</v>
      </c>
      <c r="D8" s="295"/>
      <c r="E8" s="205"/>
      <c r="F8" s="173"/>
      <c r="G8" s="206" t="s">
        <v>101</v>
      </c>
      <c r="H8" s="140">
        <f>COUNTIFS(B:B,"=Critical",G:G,"=Function Available")</f>
        <v>0</v>
      </c>
      <c r="I8" s="131">
        <f t="shared" si="0"/>
        <v>1</v>
      </c>
      <c r="J8" s="329">
        <f t="shared" si="1"/>
        <v>0</v>
      </c>
      <c r="K8" s="131">
        <f t="shared" si="2"/>
        <v>0</v>
      </c>
      <c r="L8" s="197">
        <v>1</v>
      </c>
    </row>
    <row r="9" spans="1:16" ht="27.6" x14ac:dyDescent="0.25">
      <c r="A9" s="202" t="str">
        <f>IF(L9=1,"BI-"&amp;TEXT(COUNTIF($L$3:L9, "1"), "0"), "")</f>
        <v>BI-7</v>
      </c>
      <c r="B9" s="297" t="s">
        <v>43</v>
      </c>
      <c r="C9" s="232" t="s">
        <v>182</v>
      </c>
      <c r="D9" s="295"/>
      <c r="E9" s="205"/>
      <c r="F9" s="173"/>
      <c r="G9" s="206" t="s">
        <v>101</v>
      </c>
      <c r="H9" s="140">
        <f>COUNTIFS(B:B,"=Critical",G:G,"=Function Not Available")</f>
        <v>0</v>
      </c>
      <c r="I9" s="131">
        <f t="shared" si="0"/>
        <v>1</v>
      </c>
      <c r="J9" s="329">
        <f t="shared" si="1"/>
        <v>0</v>
      </c>
      <c r="K9" s="131">
        <f t="shared" si="2"/>
        <v>0</v>
      </c>
      <c r="L9" s="197">
        <v>1</v>
      </c>
    </row>
    <row r="10" spans="1:16" ht="30" customHeight="1" x14ac:dyDescent="0.25">
      <c r="A10" s="202" t="str">
        <f>IF(L10=1,"BI-"&amp;TEXT(COUNTIF($L$3:L10, "1"), "0"), "")</f>
        <v>BI-8</v>
      </c>
      <c r="B10" s="297" t="s">
        <v>45</v>
      </c>
      <c r="C10" s="232" t="s">
        <v>183</v>
      </c>
      <c r="D10" s="295"/>
      <c r="E10" s="224"/>
      <c r="F10" s="173"/>
      <c r="G10" s="225" t="s">
        <v>101</v>
      </c>
      <c r="H10" s="140">
        <f>COUNTIFS(B:B,"=Critical",G:G,"=Exception")</f>
        <v>0</v>
      </c>
      <c r="I10" s="131">
        <f t="shared" si="0"/>
        <v>0</v>
      </c>
      <c r="J10" s="329">
        <f t="shared" si="1"/>
        <v>0</v>
      </c>
      <c r="K10" s="131">
        <f t="shared" si="2"/>
        <v>0</v>
      </c>
      <c r="L10" s="197">
        <v>1</v>
      </c>
    </row>
    <row r="11" spans="1:16" ht="30" customHeight="1" x14ac:dyDescent="0.25">
      <c r="A11" s="202" t="str">
        <f>IF(L11=1,"BI-"&amp;TEXT(COUNTIF($L$3:L11, "1"), "0"), "")</f>
        <v>BI-9</v>
      </c>
      <c r="B11" s="297" t="s">
        <v>45</v>
      </c>
      <c r="C11" s="232" t="s">
        <v>381</v>
      </c>
      <c r="D11" s="295"/>
      <c r="E11" s="224"/>
      <c r="F11" s="173"/>
      <c r="G11" s="225" t="s">
        <v>101</v>
      </c>
      <c r="H11" s="146">
        <f>COUNTIFS(B:B,"=Important",G:G,"=Select from Drop Down List")</f>
        <v>12</v>
      </c>
      <c r="I11" s="131">
        <f t="shared" si="0"/>
        <v>0</v>
      </c>
      <c r="J11" s="329">
        <f t="shared" si="1"/>
        <v>0</v>
      </c>
      <c r="K11" s="131">
        <f t="shared" si="2"/>
        <v>0</v>
      </c>
      <c r="L11" s="197">
        <v>1</v>
      </c>
    </row>
    <row r="12" spans="1:16" ht="30" customHeight="1" x14ac:dyDescent="0.25">
      <c r="A12" s="202" t="str">
        <f>IF(L12=1,"BI-"&amp;TEXT(COUNTIF($L$3:L12, "1"), "0"), "")</f>
        <v>BI-10</v>
      </c>
      <c r="B12" s="297" t="s">
        <v>43</v>
      </c>
      <c r="C12" s="291" t="s">
        <v>382</v>
      </c>
      <c r="D12" s="218"/>
      <c r="E12" s="219"/>
      <c r="F12" s="187"/>
      <c r="G12" s="220" t="s">
        <v>101</v>
      </c>
      <c r="H12" s="146">
        <f>COUNTIFS(B:B,"=Important",G:G,"=Function Available")</f>
        <v>0</v>
      </c>
      <c r="I12" s="131">
        <f t="shared" si="0"/>
        <v>1</v>
      </c>
      <c r="J12" s="329">
        <f t="shared" si="1"/>
        <v>0</v>
      </c>
      <c r="K12" s="131">
        <f t="shared" si="2"/>
        <v>0</v>
      </c>
      <c r="L12" s="197">
        <v>1</v>
      </c>
    </row>
    <row r="13" spans="1:16" ht="30" customHeight="1" x14ac:dyDescent="0.25">
      <c r="A13" s="202" t="str">
        <f>IF(L13=1,"BI-"&amp;TEXT(COUNTIF($L$3:L13, "1"), "0"), "")</f>
        <v>BI-11</v>
      </c>
      <c r="B13" s="297" t="s">
        <v>43</v>
      </c>
      <c r="C13" s="291" t="s">
        <v>383</v>
      </c>
      <c r="D13" s="209"/>
      <c r="E13" s="205"/>
      <c r="F13" s="137"/>
      <c r="G13" s="206" t="s">
        <v>101</v>
      </c>
      <c r="H13" s="146">
        <f>COUNTIFS(B:B,"=Important",G:G,"=Function Not Available")</f>
        <v>0</v>
      </c>
      <c r="I13" s="131">
        <f t="shared" si="0"/>
        <v>1</v>
      </c>
      <c r="J13" s="329">
        <f t="shared" si="1"/>
        <v>0</v>
      </c>
      <c r="K13" s="131">
        <f t="shared" si="2"/>
        <v>0</v>
      </c>
      <c r="L13" s="197">
        <v>1</v>
      </c>
    </row>
    <row r="14" spans="1:16" ht="30" customHeight="1" x14ac:dyDescent="0.25">
      <c r="A14" s="202" t="str">
        <f>IF(L14=1,"BI-"&amp;TEXT(COUNTIF($L$3:L14, "1"), "0"), "")</f>
        <v>BI-12</v>
      </c>
      <c r="B14" s="297" t="s">
        <v>43</v>
      </c>
      <c r="C14" s="208" t="s">
        <v>384</v>
      </c>
      <c r="D14" s="209"/>
      <c r="E14" s="205"/>
      <c r="F14" s="137"/>
      <c r="G14" s="206" t="s">
        <v>101</v>
      </c>
      <c r="H14" s="146">
        <f>COUNTIFS(B:B,"=Important",G:G,"=Exception")</f>
        <v>0</v>
      </c>
      <c r="I14" s="131">
        <f t="shared" si="0"/>
        <v>1</v>
      </c>
      <c r="J14" s="329">
        <f t="shared" si="1"/>
        <v>0</v>
      </c>
      <c r="K14" s="131">
        <f t="shared" si="2"/>
        <v>0</v>
      </c>
      <c r="L14" s="197">
        <v>1</v>
      </c>
    </row>
    <row r="15" spans="1:16" ht="30" customHeight="1" x14ac:dyDescent="0.25">
      <c r="A15" s="202" t="str">
        <f>IF(L15=1,"BI-"&amp;TEXT(COUNTIF($L$3:L15, "1"), "0"), "")</f>
        <v>BI-13</v>
      </c>
      <c r="B15" s="297" t="s">
        <v>45</v>
      </c>
      <c r="C15" s="232" t="s">
        <v>385</v>
      </c>
      <c r="D15" s="223"/>
      <c r="E15" s="224"/>
      <c r="F15" s="176"/>
      <c r="G15" s="225" t="s">
        <v>101</v>
      </c>
      <c r="H15" s="147">
        <f>COUNTIFS(B:B,"=Informational",G:G,"=Select from Drop Down List")</f>
        <v>4</v>
      </c>
      <c r="I15" s="131">
        <f t="shared" si="0"/>
        <v>0</v>
      </c>
      <c r="J15" s="329">
        <f t="shared" si="1"/>
        <v>0</v>
      </c>
      <c r="K15" s="131">
        <f t="shared" si="2"/>
        <v>0</v>
      </c>
      <c r="L15" s="197">
        <v>1</v>
      </c>
    </row>
    <row r="16" spans="1:16" ht="30" customHeight="1" x14ac:dyDescent="0.25">
      <c r="A16" s="202" t="str">
        <f>IF(L16=1,"BI-"&amp;TEXT(COUNTIF($L$3:L16, "1"), "0"), "")</f>
        <v>BI-14</v>
      </c>
      <c r="B16" s="297" t="s">
        <v>43</v>
      </c>
      <c r="C16" s="291" t="s">
        <v>386</v>
      </c>
      <c r="D16" s="209"/>
      <c r="E16" s="205"/>
      <c r="F16" s="137"/>
      <c r="G16" s="299" t="s">
        <v>101</v>
      </c>
      <c r="H16" s="147">
        <f>COUNTIFS(B:B,"=Informational",G:G,"=Function Available")</f>
        <v>0</v>
      </c>
      <c r="I16" s="131">
        <f t="shared" si="0"/>
        <v>1</v>
      </c>
      <c r="J16" s="329">
        <f t="shared" si="1"/>
        <v>0</v>
      </c>
      <c r="K16" s="131">
        <f t="shared" si="2"/>
        <v>0</v>
      </c>
      <c r="L16" s="197">
        <v>1</v>
      </c>
    </row>
    <row r="17" spans="1:12" ht="30" customHeight="1" x14ac:dyDescent="0.25">
      <c r="A17" s="202" t="str">
        <f>IF(L17=1,"BI-"&amp;TEXT(COUNTIF($L$3:L17, "1"), "0"), "")</f>
        <v>BI-15</v>
      </c>
      <c r="B17" s="290" t="s">
        <v>43</v>
      </c>
      <c r="C17" s="291" t="s">
        <v>386</v>
      </c>
      <c r="D17" s="209"/>
      <c r="E17" s="205"/>
      <c r="F17" s="137"/>
      <c r="G17" s="299" t="s">
        <v>101</v>
      </c>
      <c r="H17" s="147">
        <f>COUNTIFS(B:B,"=Informational",G:G,"=Function Not Available")</f>
        <v>0</v>
      </c>
      <c r="I17" s="131">
        <f t="shared" si="0"/>
        <v>1</v>
      </c>
      <c r="J17" s="329">
        <f t="shared" si="1"/>
        <v>0</v>
      </c>
      <c r="K17" s="131">
        <f t="shared" si="2"/>
        <v>0</v>
      </c>
      <c r="L17" s="197">
        <v>1</v>
      </c>
    </row>
    <row r="18" spans="1:12" ht="15.6" x14ac:dyDescent="0.25">
      <c r="A18" s="211" t="str">
        <f>IF(L18=1,"BI-"&amp;TEXT(COUNTIF($L$3:L18, "1"), "0"), "")</f>
        <v/>
      </c>
      <c r="B18" s="211"/>
      <c r="C18" s="243" t="s">
        <v>174</v>
      </c>
      <c r="D18" s="213"/>
      <c r="E18" s="214"/>
      <c r="F18" s="181"/>
      <c r="G18" s="215"/>
      <c r="H18" s="147">
        <f>COUNTIFS(B:B,"=Informational",G:G,"=Exception")</f>
        <v>0</v>
      </c>
      <c r="I18" s="131"/>
      <c r="K18" s="131"/>
    </row>
    <row r="19" spans="1:12" ht="31.2" x14ac:dyDescent="0.25">
      <c r="A19" s="202" t="str">
        <f>IF(L19=1,"BI-"&amp;TEXT(COUNTIF($L$3:L19, "1"), "0"), "")</f>
        <v>BI-16</v>
      </c>
      <c r="B19" s="203" t="s">
        <v>42</v>
      </c>
      <c r="C19" s="269" t="s">
        <v>387</v>
      </c>
      <c r="D19" s="332"/>
      <c r="E19" s="205"/>
      <c r="F19" s="137"/>
      <c r="G19" s="299" t="s">
        <v>101</v>
      </c>
      <c r="H19" s="131"/>
      <c r="I19" s="131">
        <f>IF(NOT(ISBLANK($B19)),VLOOKUP($B19,specdata,2,FALSE()),"")</f>
        <v>5</v>
      </c>
      <c r="J19" s="329">
        <f>VLOOKUP(G19,AvailabilityData,2,FALSE())</f>
        <v>0</v>
      </c>
      <c r="K19" s="131">
        <f>I19*J19</f>
        <v>0</v>
      </c>
      <c r="L19" s="197">
        <v>1</v>
      </c>
    </row>
    <row r="20" spans="1:12" ht="30" customHeight="1" x14ac:dyDescent="0.25">
      <c r="A20" s="202" t="str">
        <f>IF(L20=1,"BI-"&amp;TEXT(COUNTIF($L$3:L20, "1"), "0"), "")</f>
        <v>BI-17</v>
      </c>
      <c r="B20" s="297" t="s">
        <v>42</v>
      </c>
      <c r="C20" s="134" t="s">
        <v>388</v>
      </c>
      <c r="D20" s="209"/>
      <c r="E20" s="205"/>
      <c r="F20" s="137"/>
      <c r="G20" s="299" t="s">
        <v>101</v>
      </c>
      <c r="I20" s="131">
        <f>IF(NOT(ISBLANK($B20)),VLOOKUP($B20,specdata,2,FALSE()),"")</f>
        <v>5</v>
      </c>
      <c r="J20" s="329">
        <f>VLOOKUP(G20,AvailabilityData,2,FALSE())</f>
        <v>0</v>
      </c>
      <c r="K20" s="131">
        <f>I20*J20</f>
        <v>0</v>
      </c>
      <c r="L20" s="197">
        <v>1</v>
      </c>
    </row>
    <row r="21" spans="1:12" ht="46.8" x14ac:dyDescent="0.25">
      <c r="A21" s="202" t="str">
        <f>IF(L21=1,"BI-"&amp;TEXT(COUNTIF($L$3:L21, "1"), "0"), "")</f>
        <v>BI-18</v>
      </c>
      <c r="B21" s="297" t="s">
        <v>43</v>
      </c>
      <c r="C21" s="134" t="s">
        <v>193</v>
      </c>
      <c r="D21" s="209"/>
      <c r="E21" s="205"/>
      <c r="F21" s="137"/>
      <c r="G21" s="299" t="s">
        <v>101</v>
      </c>
      <c r="I21" s="131">
        <f>IF(NOT(ISBLANK($B21)),VLOOKUP($B21,specdata,2,FALSE()),"")</f>
        <v>1</v>
      </c>
      <c r="J21" s="329">
        <f>VLOOKUP(G21,AvailabilityData,2,FALSE())</f>
        <v>0</v>
      </c>
      <c r="K21" s="131">
        <f>I21*J21</f>
        <v>0</v>
      </c>
      <c r="L21" s="197">
        <v>1</v>
      </c>
    </row>
    <row r="22" spans="1:12" ht="31.2" x14ac:dyDescent="0.25">
      <c r="A22" s="202" t="str">
        <f>IF(L22=1,"BI-"&amp;TEXT(COUNTIF($L$3:L22, "1"), "0"), "")</f>
        <v>BI-19</v>
      </c>
      <c r="B22" s="297" t="s">
        <v>45</v>
      </c>
      <c r="C22" s="134" t="s">
        <v>259</v>
      </c>
      <c r="D22" s="209"/>
      <c r="E22" s="205"/>
      <c r="F22" s="137"/>
      <c r="G22" s="299" t="s">
        <v>101</v>
      </c>
      <c r="I22" s="131">
        <f>IF(NOT(ISBLANK($B22)),VLOOKUP($B22,specdata,2,FALSE()),"")</f>
        <v>0</v>
      </c>
      <c r="J22" s="329">
        <f>VLOOKUP(G22,AvailabilityData,2,FALSE())</f>
        <v>0</v>
      </c>
      <c r="K22" s="131">
        <f>I22*J22</f>
        <v>0</v>
      </c>
      <c r="L22" s="197">
        <v>1</v>
      </c>
    </row>
  </sheetData>
  <mergeCells count="1">
    <mergeCell ref="N3:P6"/>
  </mergeCells>
  <conditionalFormatting sqref="A18">
    <cfRule type="cellIs" dxfId="274" priority="2" operator="equal">
      <formula>"Informational"</formula>
    </cfRule>
    <cfRule type="cellIs" dxfId="273" priority="3" operator="equal">
      <formula>"Not Needed"</formula>
    </cfRule>
    <cfRule type="cellIs" dxfId="272" priority="4" operator="equal">
      <formula>"Critical"</formula>
    </cfRule>
    <cfRule type="cellIs" dxfId="271" priority="5" operator="equal">
      <formula>"Extremely Advantageous"</formula>
    </cfRule>
  </conditionalFormatting>
  <conditionalFormatting sqref="B1:B2">
    <cfRule type="cellIs" dxfId="270" priority="12" operator="equal">
      <formula>"Mandatory"</formula>
    </cfRule>
  </conditionalFormatting>
  <conditionalFormatting sqref="B1:B1048576">
    <cfRule type="cellIs" dxfId="269" priority="6" operator="equal">
      <formula>"Informational"</formula>
    </cfRule>
    <cfRule type="cellIs" dxfId="268" priority="7" operator="equal">
      <formula>"Not Needed"</formula>
    </cfRule>
  </conditionalFormatting>
  <conditionalFormatting sqref="B3:B22">
    <cfRule type="cellIs" dxfId="267" priority="10" operator="equal">
      <formula>"Critical"</formula>
    </cfRule>
    <cfRule type="cellIs" dxfId="266" priority="11" operator="equal">
      <formula>"Extremely Advantageous"</formula>
    </cfRule>
  </conditionalFormatting>
  <conditionalFormatting sqref="G1:G1048576">
    <cfRule type="cellIs" dxfId="265" priority="8" operator="equal">
      <formula>"Exception"</formula>
    </cfRule>
  </conditionalFormatting>
  <conditionalFormatting sqref="G3:G22">
    <cfRule type="cellIs" dxfId="264" priority="9" operator="equal">
      <formula>"Select from Drop Down List"</formula>
    </cfRule>
  </conditionalFormatting>
  <dataValidations count="2">
    <dataValidation type="list" allowBlank="1" showInputMessage="1" showErrorMessage="1" sqref="G3:G22" xr:uid="{00000000-0002-0000-0D00-000000000000}">
      <formula1>Availability</formula1>
      <formula2>0</formula2>
    </dataValidation>
    <dataValidation type="list" allowBlank="1" showInputMessage="1" showErrorMessage="1" errorTitle="Invalid specification type" error="Please enter a Specification type from the drop-down list." sqref="B3:B22" xr:uid="{00000000-0002-0000-0D00-000001000000}">
      <formula1>SpecType</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June 2024 ©&amp;R&amp;"Arial,Bold"&amp;10&amp;P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Q51"/>
  <sheetViews>
    <sheetView zoomScaleNormal="100" zoomScalePageLayoutView="90" workbookViewId="0">
      <selection activeCell="O3" sqref="O3:Q6"/>
    </sheetView>
  </sheetViews>
  <sheetFormatPr defaultColWidth="9" defaultRowHeight="13.8" x14ac:dyDescent="0.25"/>
  <cols>
    <col min="1" max="1" width="10.59765625" style="195" customWidth="1"/>
    <col min="2" max="2" width="14.59765625" style="195" customWidth="1"/>
    <col min="3" max="3" width="65.59765625" style="333" customWidth="1"/>
    <col min="4" max="4" width="65.59765625" style="197" customWidth="1"/>
    <col min="5" max="5" width="10.59765625" style="197" hidden="1" customWidth="1"/>
    <col min="6" max="6" width="6.59765625" style="197" hidden="1" customWidth="1"/>
    <col min="7" max="7" width="30.59765625" style="197" customWidth="1"/>
    <col min="8" max="11" width="8.59765625" style="329" hidden="1" customWidth="1"/>
    <col min="12" max="12" width="0" style="197" hidden="1" customWidth="1"/>
    <col min="13" max="16384" width="9" style="197"/>
  </cols>
  <sheetData>
    <row r="1" spans="1:17" s="334" customFormat="1" ht="105" customHeight="1" x14ac:dyDescent="0.25">
      <c r="A1" s="158" t="s">
        <v>102</v>
      </c>
      <c r="B1" s="158" t="s">
        <v>103</v>
      </c>
      <c r="C1" s="158" t="str">
        <f>'Support Data'!A18</f>
        <v>Specifications</v>
      </c>
      <c r="D1" s="159" t="str">
        <f>'Support Data'!$A$19</f>
        <v>Contractor Work Area</v>
      </c>
      <c r="E1" s="159" t="str">
        <f>'Support Data'!A20</f>
        <v>Def ID</v>
      </c>
      <c r="F1" s="160" t="s">
        <v>78</v>
      </c>
      <c r="G1" s="159" t="str">
        <f>'Support Data'!A22</f>
        <v>Availability</v>
      </c>
      <c r="H1" s="123" t="str">
        <f>'Support Data'!A24</f>
        <v>Summary</v>
      </c>
      <c r="I1" s="123" t="str">
        <f>'Support Data'!A25</f>
        <v>Spec Weight</v>
      </c>
      <c r="J1" s="123" t="str">
        <f>'Support Data'!A26</f>
        <v>Avail Weight</v>
      </c>
      <c r="K1" s="123" t="str">
        <f>'Support Data'!A27</f>
        <v>Score</v>
      </c>
      <c r="L1" s="123" t="s">
        <v>104</v>
      </c>
      <c r="M1" s="838"/>
    </row>
    <row r="2" spans="1:17" ht="15.6" x14ac:dyDescent="0.25">
      <c r="A2" s="330" t="s">
        <v>389</v>
      </c>
      <c r="B2" s="161"/>
      <c r="C2" s="335"/>
      <c r="D2" s="200"/>
      <c r="E2" s="201"/>
      <c r="F2" s="201"/>
      <c r="G2" s="434"/>
      <c r="H2" s="329">
        <f>COUNTA(B3:B12)</f>
        <v>9</v>
      </c>
      <c r="K2" s="131">
        <f>SUM(K3:K12)</f>
        <v>0</v>
      </c>
    </row>
    <row r="3" spans="1:17" ht="43.5" customHeight="1" x14ac:dyDescent="0.25">
      <c r="A3" s="202" t="str">
        <f>IF(L3=1,"C2C-"&amp;TEXT(COUNTIF($L$3:L3, "1"), "0"), "")</f>
        <v>C2C-1</v>
      </c>
      <c r="B3" s="649" t="s">
        <v>42</v>
      </c>
      <c r="C3" s="134" t="s">
        <v>390</v>
      </c>
      <c r="D3" s="298"/>
      <c r="E3" s="205"/>
      <c r="F3" s="137">
        <v>1</v>
      </c>
      <c r="G3" s="299" t="s">
        <v>101</v>
      </c>
      <c r="H3" s="131">
        <f>COUNTIF(G:G,"=Select from Drop Down List")</f>
        <v>9</v>
      </c>
      <c r="I3" s="131">
        <f>IF(NOT(ISBLANK($B3)),VLOOKUP($B3,specdata,2,FALSE()),"")</f>
        <v>5</v>
      </c>
      <c r="J3" s="329">
        <f>VLOOKUP(G3,AvailabilityData,2,FALSE())</f>
        <v>0</v>
      </c>
      <c r="K3" s="131">
        <f>I3*J3</f>
        <v>0</v>
      </c>
      <c r="L3" s="197">
        <v>1</v>
      </c>
      <c r="O3" s="857"/>
      <c r="P3" s="857"/>
      <c r="Q3" s="857"/>
    </row>
    <row r="4" spans="1:17" ht="30" customHeight="1" x14ac:dyDescent="0.25">
      <c r="A4" s="202" t="str">
        <f>IF(L4=1,"C2C-"&amp;TEXT(COUNTIF($L$3:L4, "1"), "0"), "")</f>
        <v>C2C-2</v>
      </c>
      <c r="B4" s="649" t="s">
        <v>42</v>
      </c>
      <c r="C4" s="336" t="s">
        <v>391</v>
      </c>
      <c r="D4" s="209"/>
      <c r="E4" s="205"/>
      <c r="F4" s="137">
        <v>1</v>
      </c>
      <c r="G4" s="299" t="s">
        <v>101</v>
      </c>
      <c r="H4" s="131">
        <f>COUNTIF(G:G,"=Function Available")</f>
        <v>0</v>
      </c>
      <c r="I4" s="131">
        <f>IF(NOT(ISBLANK($B4)),VLOOKUP($B4,specdata,2,FALSE()),"")</f>
        <v>5</v>
      </c>
      <c r="J4" s="329">
        <f>VLOOKUP(G4,AvailabilityData,2,FALSE())</f>
        <v>0</v>
      </c>
      <c r="K4" s="131">
        <f>I4*J4</f>
        <v>0</v>
      </c>
      <c r="L4" s="197">
        <v>1</v>
      </c>
      <c r="O4" s="857"/>
      <c r="P4" s="857"/>
      <c r="Q4" s="857"/>
    </row>
    <row r="5" spans="1:17" ht="27.6" x14ac:dyDescent="0.25">
      <c r="A5" s="202" t="str">
        <f>IF(L5=1,"C2C-"&amp;TEXT(COUNTIF($L$3:L5, "1"), "0"), "")</f>
        <v>C2C-3</v>
      </c>
      <c r="B5" s="650" t="s">
        <v>42</v>
      </c>
      <c r="C5" s="337" t="s">
        <v>392</v>
      </c>
      <c r="D5" s="223"/>
      <c r="E5" s="224"/>
      <c r="F5" s="176">
        <v>1</v>
      </c>
      <c r="G5" s="293" t="s">
        <v>101</v>
      </c>
      <c r="H5" s="131">
        <f>COUNTIF(F:G,"=Function Not Available")</f>
        <v>0</v>
      </c>
      <c r="I5" s="131">
        <f>IF(NOT(ISBLANK($B5)),VLOOKUP($B5,specdata,2,FALSE()),"")</f>
        <v>5</v>
      </c>
      <c r="J5" s="329">
        <f>VLOOKUP(G5,AvailabilityData,2,FALSE())</f>
        <v>0</v>
      </c>
      <c r="K5" s="131">
        <f>I5*J5</f>
        <v>0</v>
      </c>
      <c r="L5" s="197">
        <v>1</v>
      </c>
      <c r="O5" s="857"/>
      <c r="P5" s="857"/>
      <c r="Q5" s="857"/>
    </row>
    <row r="6" spans="1:17" ht="15.6" x14ac:dyDescent="0.25">
      <c r="A6" s="210"/>
      <c r="B6" s="211"/>
      <c r="C6" s="338" t="s">
        <v>393</v>
      </c>
      <c r="D6" s="213"/>
      <c r="E6" s="214"/>
      <c r="F6" s="181"/>
      <c r="G6" s="434"/>
      <c r="H6" s="131">
        <f>COUNTIF(G:G,"=Exception")</f>
        <v>0</v>
      </c>
      <c r="I6" s="131"/>
      <c r="K6" s="131"/>
      <c r="O6" s="857"/>
      <c r="P6" s="857"/>
      <c r="Q6" s="857"/>
    </row>
    <row r="7" spans="1:17" ht="46.5" customHeight="1" x14ac:dyDescent="0.25">
      <c r="A7" s="202" t="str">
        <f>IF(L7=1,"C2C-"&amp;TEXT(COUNTIF($L$3:L7, "1"), "0"), "")</f>
        <v>C2C-4</v>
      </c>
      <c r="B7" s="649" t="s">
        <v>42</v>
      </c>
      <c r="C7" s="339" t="s">
        <v>394</v>
      </c>
      <c r="D7" s="209"/>
      <c r="E7" s="205"/>
      <c r="F7" s="137">
        <v>1</v>
      </c>
      <c r="G7" s="299" t="s">
        <v>101</v>
      </c>
      <c r="H7" s="140">
        <f>COUNTIFS(B:B,"=Critical",G:G,"=Select from Drop Down List")</f>
        <v>9</v>
      </c>
      <c r="I7" s="131">
        <f t="shared" ref="I7:I12" si="0">IF(NOT(ISBLANK($B7)),VLOOKUP($B7,specdata,2,FALSE()),"")</f>
        <v>5</v>
      </c>
      <c r="J7" s="329">
        <f t="shared" ref="J7:J12" si="1">VLOOKUP(G7,AvailabilityData,2,FALSE())</f>
        <v>0</v>
      </c>
      <c r="K7" s="131">
        <f t="shared" ref="K7:K12" si="2">I7*J7</f>
        <v>0</v>
      </c>
      <c r="L7" s="197">
        <v>1</v>
      </c>
    </row>
    <row r="8" spans="1:17" ht="31.2" x14ac:dyDescent="0.25">
      <c r="A8" s="202" t="str">
        <f>IF(L8=1,"C2C-"&amp;TEXT(COUNTIF($L$3:L8, "1"), "0"), "")</f>
        <v>C2C-5</v>
      </c>
      <c r="B8" s="649" t="s">
        <v>42</v>
      </c>
      <c r="C8" s="339" t="s">
        <v>395</v>
      </c>
      <c r="D8" s="209"/>
      <c r="E8" s="205"/>
      <c r="F8" s="137">
        <v>1</v>
      </c>
      <c r="G8" s="299" t="s">
        <v>101</v>
      </c>
      <c r="H8" s="140">
        <f>COUNTIFS(B:B,"=Critical",G:G,"=Function Available")</f>
        <v>0</v>
      </c>
      <c r="I8" s="131">
        <f t="shared" si="0"/>
        <v>5</v>
      </c>
      <c r="J8" s="329">
        <f t="shared" si="1"/>
        <v>0</v>
      </c>
      <c r="K8" s="131">
        <f t="shared" si="2"/>
        <v>0</v>
      </c>
      <c r="L8" s="197">
        <v>1</v>
      </c>
    </row>
    <row r="9" spans="1:17" ht="27.6" x14ac:dyDescent="0.25">
      <c r="A9" s="202" t="str">
        <f>IF(L9=1,"C2C-"&amp;TEXT(COUNTIF($L$3:L9, "1"), "0"), "")</f>
        <v>C2C-6</v>
      </c>
      <c r="B9" s="649" t="s">
        <v>42</v>
      </c>
      <c r="C9" s="340" t="s">
        <v>396</v>
      </c>
      <c r="D9" s="209"/>
      <c r="E9" s="205"/>
      <c r="F9" s="137">
        <v>1</v>
      </c>
      <c r="G9" s="299" t="s">
        <v>101</v>
      </c>
      <c r="H9" s="140">
        <f>COUNTIFS(B:B,"=Critical",G:G,"=Function Not Available")</f>
        <v>0</v>
      </c>
      <c r="I9" s="131">
        <f t="shared" si="0"/>
        <v>5</v>
      </c>
      <c r="J9" s="329">
        <f t="shared" si="1"/>
        <v>0</v>
      </c>
      <c r="K9" s="131">
        <f t="shared" si="2"/>
        <v>0</v>
      </c>
      <c r="L9" s="197">
        <v>1</v>
      </c>
    </row>
    <row r="10" spans="1:17" ht="27.6" x14ac:dyDescent="0.25">
      <c r="A10" s="202" t="str">
        <f>IF(L10=1,"C2C-"&amp;TEXT(COUNTIF($L$3:L10, "1"), "0"), "")</f>
        <v>C2C-7</v>
      </c>
      <c r="B10" s="649" t="s">
        <v>42</v>
      </c>
      <c r="C10" s="336" t="s">
        <v>397</v>
      </c>
      <c r="D10" s="209"/>
      <c r="E10" s="205"/>
      <c r="F10" s="137">
        <v>1</v>
      </c>
      <c r="G10" s="299" t="s">
        <v>101</v>
      </c>
      <c r="H10" s="140">
        <f>COUNTIFS(B:B,"=Critical",G:G,"=Exception")</f>
        <v>0</v>
      </c>
      <c r="I10" s="131">
        <f t="shared" si="0"/>
        <v>5</v>
      </c>
      <c r="J10" s="329">
        <f t="shared" si="1"/>
        <v>0</v>
      </c>
      <c r="K10" s="131">
        <f t="shared" si="2"/>
        <v>0</v>
      </c>
      <c r="L10" s="197">
        <v>1</v>
      </c>
    </row>
    <row r="11" spans="1:17" ht="27.6" x14ac:dyDescent="0.25">
      <c r="A11" s="202" t="str">
        <f>IF(L11=1,"C2C-"&amp;TEXT(COUNTIF($L$3:L11, "1"), "0"), "")</f>
        <v>C2C-8</v>
      </c>
      <c r="B11" s="649" t="s">
        <v>42</v>
      </c>
      <c r="C11" s="336" t="s">
        <v>398</v>
      </c>
      <c r="D11" s="209"/>
      <c r="E11" s="205"/>
      <c r="F11" s="137">
        <v>1</v>
      </c>
      <c r="G11" s="299" t="s">
        <v>101</v>
      </c>
      <c r="H11" s="146">
        <f>COUNTIFS(B:B,"=Important",G:G,"=Select from Drop Down List")</f>
        <v>0</v>
      </c>
      <c r="I11" s="131">
        <f t="shared" si="0"/>
        <v>5</v>
      </c>
      <c r="J11" s="329">
        <f t="shared" si="1"/>
        <v>0</v>
      </c>
      <c r="K11" s="131">
        <f t="shared" si="2"/>
        <v>0</v>
      </c>
      <c r="L11" s="197">
        <v>1</v>
      </c>
    </row>
    <row r="12" spans="1:17" ht="27.6" x14ac:dyDescent="0.25">
      <c r="A12" s="202" t="str">
        <f>IF(L12=1,"C2C-"&amp;TEXT(COUNTIF($L$3:L12, "1"), "0"), "")</f>
        <v>C2C-9</v>
      </c>
      <c r="B12" s="649" t="s">
        <v>42</v>
      </c>
      <c r="C12" s="336" t="s">
        <v>399</v>
      </c>
      <c r="D12" s="209"/>
      <c r="E12" s="205"/>
      <c r="F12" s="137">
        <v>1</v>
      </c>
      <c r="G12" s="299" t="s">
        <v>101</v>
      </c>
      <c r="H12" s="146">
        <f>COUNTIFS(B:B,"=Important",G:G,"=Function Available")</f>
        <v>0</v>
      </c>
      <c r="I12" s="131">
        <f t="shared" si="0"/>
        <v>5</v>
      </c>
      <c r="J12" s="329">
        <f t="shared" si="1"/>
        <v>0</v>
      </c>
      <c r="K12" s="131">
        <f t="shared" si="2"/>
        <v>0</v>
      </c>
      <c r="L12" s="197">
        <v>1</v>
      </c>
    </row>
    <row r="13" spans="1:17" ht="30" customHeight="1" x14ac:dyDescent="0.25">
      <c r="H13" s="146">
        <f>COUNTIFS(B:B,"=Important",G:G,"=Function Not Available")</f>
        <v>0</v>
      </c>
    </row>
    <row r="14" spans="1:17" ht="30" customHeight="1" x14ac:dyDescent="0.25">
      <c r="H14" s="146">
        <f>COUNTIFS(B:B,"=Important",G:G,"=Exception")</f>
        <v>0</v>
      </c>
    </row>
    <row r="15" spans="1:17" ht="30" customHeight="1" x14ac:dyDescent="0.25">
      <c r="H15" s="147">
        <f>COUNTIFS(B:B,"=Informational",G:G,"=Select from Drop Down List")</f>
        <v>0</v>
      </c>
    </row>
    <row r="16" spans="1:17" ht="30" customHeight="1" x14ac:dyDescent="0.25">
      <c r="H16" s="147">
        <f>COUNTIFS(B:B,"=Informational",G:G,"=Function Available")</f>
        <v>0</v>
      </c>
    </row>
    <row r="17" spans="8:8" ht="30" customHeight="1" x14ac:dyDescent="0.25">
      <c r="H17" s="147">
        <f>COUNTIFS(B:B,"=Informational",G:G,"=Function Not Available")</f>
        <v>0</v>
      </c>
    </row>
    <row r="18" spans="8:8" ht="30" customHeight="1" x14ac:dyDescent="0.25">
      <c r="H18" s="147">
        <f>COUNTIFS(B:B,"=Informational",G:G,"=Exception")</f>
        <v>0</v>
      </c>
    </row>
    <row r="19" spans="8:8" ht="30" customHeight="1" x14ac:dyDescent="0.25">
      <c r="H19" s="197"/>
    </row>
    <row r="20" spans="8:8" ht="30" customHeight="1" x14ac:dyDescent="0.25">
      <c r="H20" s="197"/>
    </row>
    <row r="21" spans="8:8" ht="30" customHeight="1" x14ac:dyDescent="0.25">
      <c r="H21" s="197"/>
    </row>
    <row r="22" spans="8:8" ht="30" customHeight="1" x14ac:dyDescent="0.25">
      <c r="H22" s="197"/>
    </row>
    <row r="23" spans="8:8" ht="30" customHeight="1" x14ac:dyDescent="0.25">
      <c r="H23" s="197"/>
    </row>
    <row r="24" spans="8:8" ht="30" customHeight="1" x14ac:dyDescent="0.25">
      <c r="H24" s="197"/>
    </row>
    <row r="25" spans="8:8" ht="30" customHeight="1" x14ac:dyDescent="0.25">
      <c r="H25" s="197"/>
    </row>
    <row r="26" spans="8:8" ht="30" customHeight="1" x14ac:dyDescent="0.25">
      <c r="H26" s="197"/>
    </row>
    <row r="27" spans="8:8" ht="30" customHeight="1" x14ac:dyDescent="0.25">
      <c r="H27" s="197"/>
    </row>
    <row r="28" spans="8:8" ht="30" customHeight="1" x14ac:dyDescent="0.25">
      <c r="H28" s="197"/>
    </row>
    <row r="29" spans="8:8" ht="30" customHeight="1" x14ac:dyDescent="0.25">
      <c r="H29" s="197"/>
    </row>
    <row r="30" spans="8:8" ht="30" customHeight="1" x14ac:dyDescent="0.25">
      <c r="H30" s="197"/>
    </row>
    <row r="31" spans="8:8" ht="30" customHeight="1" x14ac:dyDescent="0.25"/>
    <row r="32" spans="8:8" ht="30" customHeight="1" x14ac:dyDescent="0.25"/>
    <row r="33" ht="30" customHeight="1" x14ac:dyDescent="0.25"/>
    <row r="34" ht="45"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row r="43" ht="30" customHeight="1" x14ac:dyDescent="0.25"/>
    <row r="44" ht="30" customHeight="1" x14ac:dyDescent="0.25"/>
    <row r="45" ht="30" customHeight="1" x14ac:dyDescent="0.25"/>
    <row r="46" ht="30" customHeight="1" x14ac:dyDescent="0.25"/>
    <row r="47" ht="30" customHeight="1" x14ac:dyDescent="0.25"/>
    <row r="48" ht="30" customHeight="1" x14ac:dyDescent="0.25"/>
    <row r="49" ht="30" customHeight="1" x14ac:dyDescent="0.25"/>
    <row r="50" ht="30" customHeight="1" x14ac:dyDescent="0.25"/>
    <row r="51" ht="59.25" customHeight="1" x14ac:dyDescent="0.25"/>
  </sheetData>
  <sheetProtection algorithmName="SHA-512" hashValue="OHpyVj4CMq/+8S5ulC7Kim5GpYIdlT/dkuj9mdKmCiXlqGCFXa5raXS0VaT8hVDkjYhgKdYDv0iO8IOKIM91PA==" saltValue="uILhYdClXKCYeHrX5NGsqg==" spinCount="100000" sheet="1" objects="1" scenarios="1"/>
  <mergeCells count="1">
    <mergeCell ref="O3:Q6"/>
  </mergeCells>
  <conditionalFormatting sqref="B1:B1048576">
    <cfRule type="cellIs" dxfId="263" priority="9" operator="equal">
      <formula>"Not Needed"</formula>
    </cfRule>
    <cfRule type="cellIs" dxfId="262" priority="10" operator="equal">
      <formula>"Extremely Advantageous"</formula>
    </cfRule>
    <cfRule type="cellIs" dxfId="261" priority="11" operator="equal">
      <formula>"Highly Advantageous"</formula>
    </cfRule>
  </conditionalFormatting>
  <conditionalFormatting sqref="B2:B12">
    <cfRule type="cellIs" dxfId="260" priority="7" operator="equal">
      <formula>"Mandatory"</formula>
    </cfRule>
  </conditionalFormatting>
  <conditionalFormatting sqref="G1:G1048576">
    <cfRule type="cellIs" dxfId="259" priority="6" operator="equal">
      <formula>"Exception"</formula>
    </cfRule>
  </conditionalFormatting>
  <conditionalFormatting sqref="G3:G12">
    <cfRule type="cellIs" dxfId="258" priority="8"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2" xr:uid="{00000000-0002-0000-0E00-000000000000}">
      <formula1>SpecType</formula1>
      <formula2>0</formula2>
    </dataValidation>
    <dataValidation type="list" allowBlank="1" showInputMessage="1" showErrorMessage="1" sqref="G3:G5 G7:G12" xr:uid="{00000000-0002-0000-0E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Q42"/>
  <sheetViews>
    <sheetView zoomScaleNormal="100" zoomScalePageLayoutView="80" workbookViewId="0">
      <selection activeCell="O3" sqref="O3:Q6"/>
    </sheetView>
  </sheetViews>
  <sheetFormatPr defaultColWidth="9" defaultRowHeight="15.6" x14ac:dyDescent="0.3"/>
  <cols>
    <col min="1" max="1" width="10.59765625" style="113" customWidth="1"/>
    <col min="2" max="2" width="14.59765625" style="113" customWidth="1"/>
    <col min="3" max="3" width="65.59765625" style="261" customWidth="1"/>
    <col min="4" max="4" width="65.59765625" style="115" customWidth="1"/>
    <col min="5" max="5" width="10.59765625" style="115" hidden="1" customWidth="1"/>
    <col min="6" max="6" width="6.59765625" style="115" hidden="1" customWidth="1"/>
    <col min="7" max="7" width="30.59765625" style="115" customWidth="1"/>
    <col min="8" max="11" width="8.59765625" style="116" hidden="1" customWidth="1"/>
    <col min="12" max="12" width="0" style="115" hidden="1" customWidth="1"/>
    <col min="13" max="16384" width="9" style="115"/>
  </cols>
  <sheetData>
    <row r="1" spans="1:17" s="124" customFormat="1" ht="105" customHeight="1" thickBot="1" x14ac:dyDescent="0.3">
      <c r="A1" s="119" t="s">
        <v>102</v>
      </c>
      <c r="B1" s="346"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c r="L1" s="123" t="s">
        <v>104</v>
      </c>
      <c r="M1" s="838"/>
    </row>
    <row r="2" spans="1:17" x14ac:dyDescent="0.3">
      <c r="A2" s="125" t="s">
        <v>401</v>
      </c>
      <c r="B2" s="161"/>
      <c r="C2" s="347"/>
      <c r="D2" s="128"/>
      <c r="E2" s="130"/>
      <c r="F2" s="130"/>
      <c r="G2" s="840"/>
      <c r="H2" s="131">
        <f>COUNTA(B3:B25)</f>
        <v>20</v>
      </c>
      <c r="K2" s="116">
        <f>SUM(K3:K25)</f>
        <v>0</v>
      </c>
    </row>
    <row r="3" spans="1:17" ht="30" customHeight="1" x14ac:dyDescent="0.3">
      <c r="A3" s="259" t="str">
        <f>IF(L3=1,"CarFax-"&amp;TEXT(COUNTIF($L$3:L3, "1"), "0"), "")</f>
        <v>CarFax-1</v>
      </c>
      <c r="B3" s="183" t="s">
        <v>43</v>
      </c>
      <c r="C3" s="164" t="s">
        <v>402</v>
      </c>
      <c r="D3" s="185"/>
      <c r="E3" s="186"/>
      <c r="F3" s="166"/>
      <c r="G3" s="137" t="s">
        <v>101</v>
      </c>
      <c r="H3" s="131">
        <f>COUNTIF(G:G,"=Select from Drop Down List")</f>
        <v>20</v>
      </c>
      <c r="I3" s="116">
        <f t="shared" ref="I3:I11" si="0">IF(NOT(ISBLANK($B3)),VLOOKUP($B3,specdata,2,FALSE()),"")</f>
        <v>1</v>
      </c>
      <c r="J3" s="116">
        <f t="shared" ref="J3:J11" si="1">VLOOKUP(G3,AvailabilityData,2,FALSE())</f>
        <v>0</v>
      </c>
      <c r="K3" s="116">
        <f t="shared" ref="K3:K11" si="2">I3*J3</f>
        <v>0</v>
      </c>
      <c r="L3" s="115">
        <v>1</v>
      </c>
      <c r="O3" s="857"/>
      <c r="P3" s="857"/>
      <c r="Q3" s="857"/>
    </row>
    <row r="4" spans="1:17" ht="46.8" x14ac:dyDescent="0.3">
      <c r="A4" s="259" t="str">
        <f>IF(L4=1,"CarFax-"&amp;TEXT(COUNTIF($L$3:L4, "1"), "0"), "")</f>
        <v>CarFax-2</v>
      </c>
      <c r="B4" s="183" t="s">
        <v>43</v>
      </c>
      <c r="C4" s="164" t="s">
        <v>403</v>
      </c>
      <c r="D4" s="185"/>
      <c r="E4" s="186"/>
      <c r="F4" s="166"/>
      <c r="G4" s="137" t="s">
        <v>101</v>
      </c>
      <c r="H4" s="131">
        <f>COUNTIF(G:G,"=Function Available")</f>
        <v>0</v>
      </c>
      <c r="I4" s="116">
        <f t="shared" si="0"/>
        <v>1</v>
      </c>
      <c r="J4" s="116">
        <f t="shared" si="1"/>
        <v>0</v>
      </c>
      <c r="K4" s="116">
        <f t="shared" si="2"/>
        <v>0</v>
      </c>
      <c r="L4" s="115">
        <v>1</v>
      </c>
      <c r="O4" s="857"/>
      <c r="P4" s="857"/>
      <c r="Q4" s="857"/>
    </row>
    <row r="5" spans="1:17" ht="30" customHeight="1" x14ac:dyDescent="0.3">
      <c r="A5" s="259" t="str">
        <f>IF(L5=1,"CarFax-"&amp;TEXT(COUNTIF($L$3:L5, "1"), "0"), "")</f>
        <v>CarFax-3</v>
      </c>
      <c r="B5" s="183" t="s">
        <v>43</v>
      </c>
      <c r="C5" s="164" t="s">
        <v>404</v>
      </c>
      <c r="D5" s="185"/>
      <c r="E5" s="186"/>
      <c r="F5" s="166"/>
      <c r="G5" s="137" t="s">
        <v>101</v>
      </c>
      <c r="H5" s="131">
        <f>COUNTIF(F:G,"=Function Not Available")</f>
        <v>0</v>
      </c>
      <c r="I5" s="116">
        <f t="shared" si="0"/>
        <v>1</v>
      </c>
      <c r="J5" s="116">
        <f t="shared" si="1"/>
        <v>0</v>
      </c>
      <c r="K5" s="116">
        <f t="shared" si="2"/>
        <v>0</v>
      </c>
      <c r="L5" s="115">
        <v>1</v>
      </c>
      <c r="O5" s="857"/>
      <c r="P5" s="857"/>
      <c r="Q5" s="857"/>
    </row>
    <row r="6" spans="1:17" ht="30" customHeight="1" x14ac:dyDescent="0.3">
      <c r="A6" s="259" t="str">
        <f>IF(L6=1,"CarFax-"&amp;TEXT(COUNTIF($L$3:L6, "1"), "0"), "")</f>
        <v>CarFax-4</v>
      </c>
      <c r="B6" s="183" t="s">
        <v>43</v>
      </c>
      <c r="C6" s="164" t="s">
        <v>405</v>
      </c>
      <c r="D6" s="138"/>
      <c r="E6" s="186"/>
      <c r="F6" s="166"/>
      <c r="G6" s="137" t="s">
        <v>101</v>
      </c>
      <c r="H6" s="131">
        <f>COUNTIF(G:G,"=Exception")</f>
        <v>0</v>
      </c>
      <c r="I6" s="116">
        <f t="shared" si="0"/>
        <v>1</v>
      </c>
      <c r="J6" s="116">
        <f t="shared" si="1"/>
        <v>0</v>
      </c>
      <c r="K6" s="116">
        <f t="shared" si="2"/>
        <v>0</v>
      </c>
      <c r="L6" s="115">
        <v>1</v>
      </c>
      <c r="O6" s="857"/>
      <c r="P6" s="857"/>
      <c r="Q6" s="857"/>
    </row>
    <row r="7" spans="1:17" ht="30" customHeight="1" x14ac:dyDescent="0.3">
      <c r="A7" s="259" t="str">
        <f>IF(L7=1,"CarFax-"&amp;TEXT(COUNTIF($L$3:L7, "1"), "0"), "")</f>
        <v>CarFax-5</v>
      </c>
      <c r="B7" s="260" t="s">
        <v>43</v>
      </c>
      <c r="C7" s="164" t="s">
        <v>406</v>
      </c>
      <c r="D7" s="153"/>
      <c r="E7" s="172"/>
      <c r="F7" s="173"/>
      <c r="G7" s="137" t="s">
        <v>101</v>
      </c>
      <c r="H7" s="140">
        <f>COUNTIFS(B:B,"=Critical",G:G,"=Select from Drop Down List")</f>
        <v>0</v>
      </c>
      <c r="I7" s="116">
        <f t="shared" si="0"/>
        <v>1</v>
      </c>
      <c r="J7" s="116">
        <f t="shared" si="1"/>
        <v>0</v>
      </c>
      <c r="K7" s="116">
        <f t="shared" si="2"/>
        <v>0</v>
      </c>
      <c r="L7" s="115">
        <v>1</v>
      </c>
    </row>
    <row r="8" spans="1:17" ht="30" customHeight="1" x14ac:dyDescent="0.3">
      <c r="A8" s="259" t="str">
        <f>IF(L8=1,"CarFax-"&amp;TEXT(COUNTIF($L$3:L8, "1"), "0"), "")</f>
        <v>CarFax-6</v>
      </c>
      <c r="B8" s="133" t="s">
        <v>43</v>
      </c>
      <c r="C8" s="164" t="s">
        <v>407</v>
      </c>
      <c r="D8" s="153"/>
      <c r="E8" s="168"/>
      <c r="F8" s="137"/>
      <c r="G8" s="240" t="s">
        <v>101</v>
      </c>
      <c r="H8" s="140">
        <f>COUNTIFS(B:B,"=Critical",G:G,"=Function Available")</f>
        <v>0</v>
      </c>
      <c r="I8" s="116">
        <f t="shared" si="0"/>
        <v>1</v>
      </c>
      <c r="J8" s="116">
        <f t="shared" si="1"/>
        <v>0</v>
      </c>
      <c r="K8" s="116">
        <f t="shared" si="2"/>
        <v>0</v>
      </c>
      <c r="L8" s="115">
        <v>1</v>
      </c>
    </row>
    <row r="9" spans="1:17" ht="30" customHeight="1" x14ac:dyDescent="0.3">
      <c r="A9" s="259" t="str">
        <f>IF(L9=1,"CarFax-"&amp;TEXT(COUNTIF($L$3:L9, "1"), "0"), "")</f>
        <v>CarFax-7</v>
      </c>
      <c r="B9" s="133" t="s">
        <v>43</v>
      </c>
      <c r="C9" s="164" t="s">
        <v>408</v>
      </c>
      <c r="D9" s="153"/>
      <c r="E9" s="168"/>
      <c r="F9" s="137"/>
      <c r="G9" s="240" t="s">
        <v>101</v>
      </c>
      <c r="H9" s="140">
        <f>COUNTIFS(B:B,"=Critical",G:G,"=Function Not Available")</f>
        <v>0</v>
      </c>
      <c r="I9" s="116">
        <f t="shared" si="0"/>
        <v>1</v>
      </c>
      <c r="J9" s="116">
        <f t="shared" si="1"/>
        <v>0</v>
      </c>
      <c r="K9" s="116">
        <f t="shared" si="2"/>
        <v>0</v>
      </c>
      <c r="L9" s="115">
        <v>1</v>
      </c>
    </row>
    <row r="10" spans="1:17" ht="30" customHeight="1" x14ac:dyDescent="0.3">
      <c r="A10" s="259" t="str">
        <f>IF(L10=1,"CarFax-"&amp;TEXT(COUNTIF($L$3:L10, "1"), "0"), "")</f>
        <v>CarFax-8</v>
      </c>
      <c r="B10" s="133" t="s">
        <v>43</v>
      </c>
      <c r="C10" s="164" t="s">
        <v>409</v>
      </c>
      <c r="D10" s="153"/>
      <c r="E10" s="168"/>
      <c r="F10" s="137"/>
      <c r="G10" s="240" t="s">
        <v>101</v>
      </c>
      <c r="H10" s="140">
        <f>COUNTIFS(B:B,"=Critical",G:G,"=Exception")</f>
        <v>0</v>
      </c>
      <c r="I10" s="116">
        <f t="shared" si="0"/>
        <v>1</v>
      </c>
      <c r="J10" s="116">
        <f t="shared" si="1"/>
        <v>0</v>
      </c>
      <c r="K10" s="116">
        <f t="shared" si="2"/>
        <v>0</v>
      </c>
      <c r="L10" s="115">
        <v>1</v>
      </c>
    </row>
    <row r="11" spans="1:17" ht="46.8" x14ac:dyDescent="0.3">
      <c r="A11" s="259" t="str">
        <f>IF(L11=1,"CarFax-"&amp;TEXT(COUNTIF($L$3:L11, "1"), "0"), "")</f>
        <v>CarFax-9</v>
      </c>
      <c r="B11" s="169" t="s">
        <v>43</v>
      </c>
      <c r="C11" s="170" t="s">
        <v>410</v>
      </c>
      <c r="D11" s="323"/>
      <c r="E11" s="175"/>
      <c r="F11" s="176"/>
      <c r="G11" s="137" t="s">
        <v>101</v>
      </c>
      <c r="H11" s="146">
        <f>COUNTIFS(B:B,"=Important",G:G,"=Select from Drop Down List")</f>
        <v>20</v>
      </c>
      <c r="I11" s="116">
        <f t="shared" si="0"/>
        <v>1</v>
      </c>
      <c r="J11" s="116">
        <f t="shared" si="1"/>
        <v>0</v>
      </c>
      <c r="K11" s="116">
        <f t="shared" si="2"/>
        <v>0</v>
      </c>
      <c r="L11" s="115">
        <v>1</v>
      </c>
    </row>
    <row r="12" spans="1:17" x14ac:dyDescent="0.3">
      <c r="A12" s="316"/>
      <c r="B12" s="126"/>
      <c r="C12" s="193" t="s">
        <v>168</v>
      </c>
      <c r="D12" s="194"/>
      <c r="E12" s="180"/>
      <c r="F12" s="181"/>
      <c r="G12" s="606"/>
      <c r="H12" s="146">
        <f>COUNTIFS(B:B,"=Important",G:G,"=Function Available")</f>
        <v>0</v>
      </c>
    </row>
    <row r="13" spans="1:17" ht="45" customHeight="1" x14ac:dyDescent="0.3">
      <c r="A13" s="259" t="str">
        <f>IF(L13=1,"CarFax-"&amp;TEXT(COUNTIF($L$3:L13, "1"), "0"), "")</f>
        <v>CarFax-10</v>
      </c>
      <c r="B13" s="183" t="s">
        <v>43</v>
      </c>
      <c r="C13" s="278" t="s">
        <v>185</v>
      </c>
      <c r="D13" s="185"/>
      <c r="E13" s="186"/>
      <c r="F13" s="187"/>
      <c r="G13" s="249" t="s">
        <v>101</v>
      </c>
      <c r="H13" s="146">
        <f>COUNTIFS(B:B,"=Important",G:G,"=Function Not Available")</f>
        <v>0</v>
      </c>
      <c r="I13" s="116">
        <f t="shared" ref="I13:I15" si="3">IF(NOT(ISBLANK($B13)),VLOOKUP($B13,specdata,2,FALSE()),"")</f>
        <v>1</v>
      </c>
      <c r="J13" s="116">
        <f t="shared" ref="J13:J15" si="4">VLOOKUP(G13,AvailabilityData,2,FALSE())</f>
        <v>0</v>
      </c>
      <c r="K13" s="116">
        <f t="shared" ref="K13:K15" si="5">I13*J13</f>
        <v>0</v>
      </c>
      <c r="L13" s="115">
        <v>1</v>
      </c>
    </row>
    <row r="14" spans="1:17" ht="30" customHeight="1" x14ac:dyDescent="0.3">
      <c r="A14" s="259" t="str">
        <f>IF(L14=1,"CarFax-"&amp;TEXT(COUNTIF($L$3:L14, "1"), "0"), "")</f>
        <v>CarFax-11</v>
      </c>
      <c r="B14" s="183" t="s">
        <v>43</v>
      </c>
      <c r="C14" s="154" t="s">
        <v>170</v>
      </c>
      <c r="D14" s="185"/>
      <c r="E14" s="186"/>
      <c r="F14" s="191"/>
      <c r="G14" s="137" t="s">
        <v>101</v>
      </c>
      <c r="H14" s="146">
        <f>COUNTIFS(B:B,"=Important",G:G,"=Exception")</f>
        <v>0</v>
      </c>
      <c r="I14" s="116">
        <f t="shared" si="3"/>
        <v>1</v>
      </c>
      <c r="J14" s="116">
        <f t="shared" si="4"/>
        <v>0</v>
      </c>
      <c r="K14" s="116">
        <f t="shared" si="5"/>
        <v>0</v>
      </c>
      <c r="L14" s="115">
        <v>1</v>
      </c>
    </row>
    <row r="15" spans="1:17" ht="30" customHeight="1" x14ac:dyDescent="0.3">
      <c r="A15" s="259" t="str">
        <f>IF(L15=1,"CarFax-"&amp;TEXT(COUNTIF($L$3:L15, "1"), "0"), "")</f>
        <v>CarFax-12</v>
      </c>
      <c r="B15" s="260" t="s">
        <v>43</v>
      </c>
      <c r="C15" s="170" t="s">
        <v>207</v>
      </c>
      <c r="D15" s="171"/>
      <c r="E15" s="172"/>
      <c r="F15" s="173"/>
      <c r="G15" s="137" t="s">
        <v>101</v>
      </c>
      <c r="H15" s="147">
        <f>COUNTIFS(B:B,"=Informational",G:G,"=Select from Drop Down List")</f>
        <v>0</v>
      </c>
      <c r="I15" s="116">
        <f t="shared" si="3"/>
        <v>1</v>
      </c>
      <c r="J15" s="116">
        <f t="shared" si="4"/>
        <v>0</v>
      </c>
      <c r="K15" s="116">
        <f t="shared" si="5"/>
        <v>0</v>
      </c>
      <c r="L15" s="115">
        <v>1</v>
      </c>
    </row>
    <row r="16" spans="1:17" x14ac:dyDescent="0.3">
      <c r="A16" s="316"/>
      <c r="B16" s="126"/>
      <c r="C16" s="193" t="s">
        <v>165</v>
      </c>
      <c r="D16" s="179"/>
      <c r="E16" s="180"/>
      <c r="F16" s="181"/>
      <c r="G16" s="606"/>
      <c r="H16" s="147">
        <f>COUNTIFS(B:B,"=Informational",G:G,"=Function Available")</f>
        <v>0</v>
      </c>
    </row>
    <row r="17" spans="1:12" ht="30" customHeight="1" x14ac:dyDescent="0.3">
      <c r="A17" s="259" t="str">
        <f>IF(L17=1,"CarFax-"&amp;TEXT(COUNTIF($L$3:L17, "1"), "0"), "")</f>
        <v>CarFax-13</v>
      </c>
      <c r="B17" s="183" t="s">
        <v>43</v>
      </c>
      <c r="C17" s="184" t="s">
        <v>208</v>
      </c>
      <c r="D17" s="270"/>
      <c r="E17" s="186"/>
      <c r="F17" s="191"/>
      <c r="G17" s="187" t="s">
        <v>101</v>
      </c>
      <c r="H17" s="147">
        <f>COUNTIFS(B:B,"=Informational",G:G,"=Function Not Available")</f>
        <v>0</v>
      </c>
      <c r="I17" s="116">
        <f>IF(NOT(ISBLANK($B17)),VLOOKUP($B17,specdata,2,FALSE()),"")</f>
        <v>1</v>
      </c>
      <c r="J17" s="116">
        <f>VLOOKUP(G17,AvailabilityData,2,FALSE())</f>
        <v>0</v>
      </c>
      <c r="K17" s="116">
        <f>I17*J17</f>
        <v>0</v>
      </c>
      <c r="L17" s="115">
        <v>1</v>
      </c>
    </row>
    <row r="18" spans="1:12" ht="30" customHeight="1" x14ac:dyDescent="0.3">
      <c r="A18" s="259" t="str">
        <f>IF(L18=1,"CarFax-"&amp;TEXT(COUNTIF($L$3:L18, "1"), "0"), "")</f>
        <v>CarFax-14</v>
      </c>
      <c r="B18" s="183" t="s">
        <v>43</v>
      </c>
      <c r="C18" s="164" t="s">
        <v>257</v>
      </c>
      <c r="D18" s="270"/>
      <c r="E18" s="186"/>
      <c r="F18" s="166"/>
      <c r="G18" s="137" t="s">
        <v>101</v>
      </c>
      <c r="H18" s="147">
        <f>COUNTIFS(B:B,"=Informational",G:G,"=Exception")</f>
        <v>0</v>
      </c>
      <c r="I18" s="116">
        <f>IF(NOT(ISBLANK($B18)),VLOOKUP($B18,specdata,2,FALSE()),"")</f>
        <v>1</v>
      </c>
      <c r="J18" s="116">
        <f>VLOOKUP(G18,AvailabilityData,2,FALSE())</f>
        <v>0</v>
      </c>
      <c r="K18" s="116">
        <f>I18*J18</f>
        <v>0</v>
      </c>
      <c r="L18" s="115">
        <v>1</v>
      </c>
    </row>
    <row r="19" spans="1:12" ht="30" customHeight="1" x14ac:dyDescent="0.3">
      <c r="A19" s="259" t="str">
        <f>IF(L19=1,"CarFax-"&amp;TEXT(COUNTIF($L$3:L19, "1"), "0"), "")</f>
        <v>CarFax-15</v>
      </c>
      <c r="B19" s="183" t="s">
        <v>43</v>
      </c>
      <c r="C19" s="164" t="s">
        <v>210</v>
      </c>
      <c r="D19" s="270"/>
      <c r="E19" s="186"/>
      <c r="F19" s="166"/>
      <c r="G19" s="137" t="s">
        <v>101</v>
      </c>
      <c r="I19" s="116">
        <f>IF(NOT(ISBLANK($B19)),VLOOKUP($B19,specdata,2,FALSE()),"")</f>
        <v>1</v>
      </c>
      <c r="J19" s="116">
        <f>VLOOKUP(G19,AvailabilityData,2,FALSE())</f>
        <v>0</v>
      </c>
      <c r="K19" s="116">
        <f>I19*J19</f>
        <v>0</v>
      </c>
      <c r="L19" s="115">
        <v>1</v>
      </c>
    </row>
    <row r="20" spans="1:12" ht="30" customHeight="1" x14ac:dyDescent="0.3">
      <c r="A20" s="259" t="str">
        <f>IF(L20=1,"CarFax-"&amp;TEXT(COUNTIF($L$3:L20, "1"), "0"), "")</f>
        <v>CarFax-16</v>
      </c>
      <c r="B20" s="260" t="s">
        <v>43</v>
      </c>
      <c r="C20" s="170" t="s">
        <v>211</v>
      </c>
      <c r="D20" s="171"/>
      <c r="E20" s="172"/>
      <c r="F20" s="173"/>
      <c r="G20" s="137" t="s">
        <v>101</v>
      </c>
      <c r="I20" s="116">
        <f>IF(NOT(ISBLANK($B20)),VLOOKUP($B20,specdata,2,FALSE()),"")</f>
        <v>1</v>
      </c>
      <c r="J20" s="116">
        <f>VLOOKUP(G20,AvailabilityData,2,FALSE())</f>
        <v>0</v>
      </c>
      <c r="K20" s="116">
        <f>I20*J20</f>
        <v>0</v>
      </c>
      <c r="L20" s="115">
        <v>1</v>
      </c>
    </row>
    <row r="21" spans="1:12" x14ac:dyDescent="0.3">
      <c r="A21" s="316"/>
      <c r="B21" s="126"/>
      <c r="C21" s="178" t="s">
        <v>174</v>
      </c>
      <c r="D21" s="179"/>
      <c r="E21" s="180"/>
      <c r="F21" s="181"/>
      <c r="G21" s="606"/>
    </row>
    <row r="22" spans="1:12" ht="30" customHeight="1" x14ac:dyDescent="0.3">
      <c r="A22" s="259" t="str">
        <f>IF(L22=1,"CarFax-"&amp;TEXT(COUNTIF($L$3:L22, "1"), "0"), "")</f>
        <v>CarFax-17</v>
      </c>
      <c r="B22" s="183" t="s">
        <v>43</v>
      </c>
      <c r="C22" s="184" t="s">
        <v>258</v>
      </c>
      <c r="D22" s="270"/>
      <c r="E22" s="186"/>
      <c r="F22" s="191"/>
      <c r="G22" s="187" t="s">
        <v>101</v>
      </c>
      <c r="I22" s="116">
        <f>IF(NOT(ISBLANK($B22)),VLOOKUP($B22,specdata,2,FALSE()),"")</f>
        <v>1</v>
      </c>
      <c r="J22" s="116">
        <f>VLOOKUP(G22,AvailabilityData,2,FALSE())</f>
        <v>0</v>
      </c>
      <c r="K22" s="116">
        <f>I22*J22</f>
        <v>0</v>
      </c>
      <c r="L22" s="115">
        <v>1</v>
      </c>
    </row>
    <row r="23" spans="1:12" ht="46.8" x14ac:dyDescent="0.3">
      <c r="A23" s="259" t="str">
        <f>IF(L23=1,"CarFax-"&amp;TEXT(COUNTIF($L$3:L23, "1"), "0"), "")</f>
        <v>CarFax-18</v>
      </c>
      <c r="B23" s="183" t="s">
        <v>43</v>
      </c>
      <c r="C23" s="164" t="s">
        <v>412</v>
      </c>
      <c r="D23" s="270"/>
      <c r="E23" s="186"/>
      <c r="F23" s="166"/>
      <c r="G23" s="137" t="s">
        <v>101</v>
      </c>
      <c r="I23" s="116">
        <f>IF(NOT(ISBLANK($B23)),VLOOKUP($B23,specdata,2,FALSE()),"")</f>
        <v>1</v>
      </c>
      <c r="J23" s="116">
        <f>VLOOKUP(G23,AvailabilityData,2,FALSE())</f>
        <v>0</v>
      </c>
      <c r="K23" s="116">
        <f>I23*J23</f>
        <v>0</v>
      </c>
      <c r="L23" s="115">
        <v>1</v>
      </c>
    </row>
    <row r="24" spans="1:12" ht="46.8" x14ac:dyDescent="0.3">
      <c r="A24" s="259" t="str">
        <f>IF(L24=1,"CarFax-"&amp;TEXT(COUNTIF($L$3:L24, "1"), "0"), "")</f>
        <v>CarFax-19</v>
      </c>
      <c r="B24" s="183" t="s">
        <v>43</v>
      </c>
      <c r="C24" s="164" t="s">
        <v>193</v>
      </c>
      <c r="D24" s="270"/>
      <c r="E24" s="186"/>
      <c r="F24" s="166"/>
      <c r="G24" s="137" t="s">
        <v>101</v>
      </c>
      <c r="I24" s="116">
        <f>IF(NOT(ISBLANK($B24)),VLOOKUP($B24,specdata,2,FALSE()),"")</f>
        <v>1</v>
      </c>
      <c r="J24" s="116">
        <f>VLOOKUP(G24,AvailabilityData,2,FALSE())</f>
        <v>0</v>
      </c>
      <c r="K24" s="116">
        <f>I24*J24</f>
        <v>0</v>
      </c>
      <c r="L24" s="115">
        <v>1</v>
      </c>
    </row>
    <row r="25" spans="1:12" ht="30" customHeight="1" x14ac:dyDescent="0.3">
      <c r="A25" s="259" t="str">
        <f>IF(L25=1,"CarFax-"&amp;TEXT(COUNTIF($L$3:L25, "1"), "0"), "")</f>
        <v>CarFax-20</v>
      </c>
      <c r="B25" s="183" t="s">
        <v>43</v>
      </c>
      <c r="C25" s="164" t="s">
        <v>413</v>
      </c>
      <c r="D25" s="270"/>
      <c r="E25" s="186"/>
      <c r="F25" s="166"/>
      <c r="G25" s="137" t="s">
        <v>101</v>
      </c>
      <c r="I25" s="116">
        <f>IF(NOT(ISBLANK($B25)),VLOOKUP($B25,specdata,2,FALSE()),"")</f>
        <v>1</v>
      </c>
      <c r="J25" s="116">
        <f>VLOOKUP(G25,AvailabilityData,2,FALSE())</f>
        <v>0</v>
      </c>
      <c r="K25" s="116">
        <f>I25*J25</f>
        <v>0</v>
      </c>
      <c r="L25" s="115">
        <v>1</v>
      </c>
    </row>
    <row r="26" spans="1:12" x14ac:dyDescent="0.3">
      <c r="H26" s="115"/>
    </row>
    <row r="27" spans="1:12" x14ac:dyDescent="0.3">
      <c r="H27" s="115"/>
    </row>
    <row r="28" spans="1:12" x14ac:dyDescent="0.3">
      <c r="H28" s="115"/>
    </row>
    <row r="29" spans="1:12" x14ac:dyDescent="0.3">
      <c r="H29" s="115"/>
    </row>
    <row r="30" spans="1:12" x14ac:dyDescent="0.3">
      <c r="H30" s="115"/>
    </row>
    <row r="31" spans="1:12" x14ac:dyDescent="0.3">
      <c r="H31" s="115"/>
    </row>
    <row r="32" spans="1:12" x14ac:dyDescent="0.3">
      <c r="H32" s="115"/>
    </row>
    <row r="33" spans="8:8" x14ac:dyDescent="0.3">
      <c r="H33" s="115"/>
    </row>
    <row r="34" spans="8:8" x14ac:dyDescent="0.3">
      <c r="H34" s="115"/>
    </row>
    <row r="35" spans="8:8" x14ac:dyDescent="0.3">
      <c r="H35" s="115"/>
    </row>
    <row r="36" spans="8:8" x14ac:dyDescent="0.3">
      <c r="H36" s="115"/>
    </row>
    <row r="37" spans="8:8" x14ac:dyDescent="0.3">
      <c r="H37" s="115"/>
    </row>
    <row r="38" spans="8:8" x14ac:dyDescent="0.3">
      <c r="H38" s="115"/>
    </row>
    <row r="39" spans="8:8" x14ac:dyDescent="0.3">
      <c r="H39" s="115"/>
    </row>
    <row r="40" spans="8:8" x14ac:dyDescent="0.3">
      <c r="H40" s="115"/>
    </row>
    <row r="41" spans="8:8" x14ac:dyDescent="0.3">
      <c r="H41" s="115"/>
    </row>
    <row r="42" spans="8:8" x14ac:dyDescent="0.3">
      <c r="H42" s="115"/>
    </row>
  </sheetData>
  <sheetProtection algorithmName="SHA-512" hashValue="FH35mRyGMwfNwiKBcPTsDgpBbuDyXQg3aeWAXj3iVZeEzdxivTpvWXqTuB+4NHPg2yzm/825GLSPy56cp7T+8g==" saltValue="kRechRmUzCEvFkM+wNWfIg==" spinCount="100000" sheet="1" objects="1" scenarios="1"/>
  <mergeCells count="1">
    <mergeCell ref="O3:Q6"/>
  </mergeCells>
  <conditionalFormatting sqref="B1:B1048576">
    <cfRule type="cellIs" dxfId="257" priority="2" operator="equal">
      <formula>"Informational"</formula>
    </cfRule>
    <cfRule type="cellIs" dxfId="256" priority="3" operator="equal">
      <formula>"Not Needed"</formula>
    </cfRule>
    <cfRule type="cellIs" dxfId="255" priority="4" operator="equal">
      <formula>"Critical"</formula>
    </cfRule>
    <cfRule type="cellIs" dxfId="254" priority="5" operator="equal">
      <formula>"Extremely Advantageous"</formula>
    </cfRule>
  </conditionalFormatting>
  <conditionalFormatting sqref="G1:G1048576">
    <cfRule type="cellIs" dxfId="253" priority="6" operator="equal">
      <formula>"Exception"</formula>
    </cfRule>
  </conditionalFormatting>
  <conditionalFormatting sqref="G3:G25">
    <cfRule type="cellIs" dxfId="252" priority="7" operator="equal">
      <formula>"Select from Drop Down List"</formula>
    </cfRule>
  </conditionalFormatting>
  <dataValidations count="2">
    <dataValidation type="list" allowBlank="1" showInputMessage="1" showErrorMessage="1" sqref="G3:G11 G13:G15 G17:G20 G22:G25" xr:uid="{00000000-0002-0000-0F00-000000000000}">
      <formula1>Availability</formula1>
      <formula2>0</formula2>
    </dataValidation>
    <dataValidation type="list" allowBlank="1" showInputMessage="1" showErrorMessage="1" errorTitle="Invalid specification type" error="Please enter a Specification type from the drop-down list." sqref="B3:B25" xr:uid="{00000000-0002-0000-0F00-000001000000}">
      <formula1>SpecType</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Q43"/>
  <sheetViews>
    <sheetView zoomScaleNormal="100" zoomScalePageLayoutView="80" workbookViewId="0">
      <selection activeCell="O3" sqref="O3:Q6"/>
    </sheetView>
  </sheetViews>
  <sheetFormatPr defaultColWidth="9" defaultRowHeight="15.6" x14ac:dyDescent="0.3"/>
  <cols>
    <col min="1" max="1" width="10.59765625" style="113" customWidth="1"/>
    <col min="2" max="2" width="14.59765625" style="113" customWidth="1"/>
    <col min="3" max="3" width="65.59765625" style="261" customWidth="1"/>
    <col min="4" max="4" width="65.59765625" style="115" customWidth="1"/>
    <col min="5" max="5" width="10.59765625" style="115" hidden="1" customWidth="1"/>
    <col min="6" max="6" width="6.59765625" style="115" hidden="1" customWidth="1"/>
    <col min="7" max="7" width="30.59765625" style="115" customWidth="1"/>
    <col min="8" max="11" width="8.59765625" style="116" hidden="1" customWidth="1"/>
    <col min="12" max="12" width="0" style="115" hidden="1" customWidth="1"/>
    <col min="13" max="16384" width="9" style="115"/>
  </cols>
  <sheetData>
    <row r="1" spans="1:17" s="124" customFormat="1" ht="105" customHeight="1" thickBot="1" x14ac:dyDescent="0.3">
      <c r="A1" s="119" t="s">
        <v>102</v>
      </c>
      <c r="B1" s="346"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c r="L1" s="123" t="s">
        <v>104</v>
      </c>
      <c r="M1" s="838"/>
    </row>
    <row r="2" spans="1:17" x14ac:dyDescent="0.3">
      <c r="A2" s="125" t="s">
        <v>415</v>
      </c>
      <c r="B2" s="161"/>
      <c r="C2" s="347"/>
      <c r="D2" s="128"/>
      <c r="E2" s="130"/>
      <c r="F2" s="130"/>
      <c r="G2" s="840"/>
      <c r="H2" s="116">
        <f>COUNTA(B3:B43)</f>
        <v>38</v>
      </c>
      <c r="K2" s="116">
        <f>SUM(K3:K43)</f>
        <v>0</v>
      </c>
    </row>
    <row r="3" spans="1:17" ht="29.4" customHeight="1" x14ac:dyDescent="0.3">
      <c r="A3" s="259" t="str">
        <f>IF(L3=1,"Drones-"&amp;TEXT(COUNTIF($L$3:L3, "1"), "0"), "")</f>
        <v>Drones-1</v>
      </c>
      <c r="B3" s="183" t="s">
        <v>45</v>
      </c>
      <c r="C3" s="164" t="s">
        <v>416</v>
      </c>
      <c r="D3" s="185"/>
      <c r="E3" s="186"/>
      <c r="F3" s="166"/>
      <c r="G3" s="137" t="s">
        <v>101</v>
      </c>
      <c r="H3" s="131">
        <f>COUNTIF(G:G,"=Select from Drop Down List")</f>
        <v>38</v>
      </c>
      <c r="I3" s="116">
        <f t="shared" ref="I3:I27" si="0">IF(NOT(ISBLANK($B3)),VLOOKUP($B3,specdata,2,FALSE()),"")</f>
        <v>0</v>
      </c>
      <c r="J3" s="116">
        <f t="shared" ref="J3:J27" si="1">VLOOKUP(G3,AvailabilityData,2,FALSE())</f>
        <v>0</v>
      </c>
      <c r="K3" s="116">
        <f t="shared" ref="K3:K27" si="2">I3*J3</f>
        <v>0</v>
      </c>
      <c r="L3" s="115">
        <v>1</v>
      </c>
      <c r="O3" s="857"/>
      <c r="P3" s="857"/>
      <c r="Q3" s="857"/>
    </row>
    <row r="4" spans="1:17" ht="46.8" x14ac:dyDescent="0.3">
      <c r="A4" s="259" t="str">
        <f>IF(L4=1,"Drones-"&amp;TEXT(COUNTIF($L$3:L4, "1"), "0"), "")</f>
        <v>Drones-2</v>
      </c>
      <c r="B4" s="183" t="s">
        <v>45</v>
      </c>
      <c r="C4" s="164" t="s">
        <v>417</v>
      </c>
      <c r="D4" s="185"/>
      <c r="E4" s="186"/>
      <c r="F4" s="166"/>
      <c r="G4" s="137" t="s">
        <v>101</v>
      </c>
      <c r="H4" s="131">
        <f>COUNTIF(G:G,"=Function Available")</f>
        <v>0</v>
      </c>
      <c r="I4" s="116">
        <f t="shared" si="0"/>
        <v>0</v>
      </c>
      <c r="J4" s="116">
        <f t="shared" si="1"/>
        <v>0</v>
      </c>
      <c r="K4" s="116">
        <f t="shared" si="2"/>
        <v>0</v>
      </c>
      <c r="L4" s="115">
        <v>1</v>
      </c>
      <c r="O4" s="857"/>
      <c r="P4" s="857"/>
      <c r="Q4" s="857"/>
    </row>
    <row r="5" spans="1:17" ht="46.8" x14ac:dyDescent="0.3">
      <c r="A5" s="259" t="str">
        <f>IF(L5=1,"Drones-"&amp;TEXT(COUNTIF($L$3:L5, "1"), "0"), "")</f>
        <v>Drones-3</v>
      </c>
      <c r="B5" s="183" t="s">
        <v>43</v>
      </c>
      <c r="C5" s="164" t="s">
        <v>418</v>
      </c>
      <c r="D5" s="185"/>
      <c r="E5" s="186"/>
      <c r="F5" s="166"/>
      <c r="G5" s="137" t="s">
        <v>101</v>
      </c>
      <c r="H5" s="131">
        <f>COUNTIF(F:G,"=Function Not Available")</f>
        <v>0</v>
      </c>
      <c r="I5" s="116">
        <f t="shared" si="0"/>
        <v>1</v>
      </c>
      <c r="J5" s="116">
        <f t="shared" si="1"/>
        <v>0</v>
      </c>
      <c r="K5" s="116">
        <f t="shared" si="2"/>
        <v>0</v>
      </c>
      <c r="L5" s="115">
        <v>1</v>
      </c>
      <c r="O5" s="857"/>
      <c r="P5" s="857"/>
      <c r="Q5" s="857"/>
    </row>
    <row r="6" spans="1:17" ht="46.8" x14ac:dyDescent="0.3">
      <c r="A6" s="259" t="str">
        <f>IF(L6=1,"Drones-"&amp;TEXT(COUNTIF($L$3:L6, "1"), "0"), "")</f>
        <v>Drones-4</v>
      </c>
      <c r="B6" s="183" t="s">
        <v>43</v>
      </c>
      <c r="C6" s="164" t="s">
        <v>419</v>
      </c>
      <c r="D6" s="138"/>
      <c r="E6" s="186"/>
      <c r="F6" s="166"/>
      <c r="G6" s="137" t="s">
        <v>101</v>
      </c>
      <c r="H6" s="131">
        <f>COUNTIF(G:G,"=Exception")</f>
        <v>0</v>
      </c>
      <c r="I6" s="116">
        <f t="shared" si="0"/>
        <v>1</v>
      </c>
      <c r="J6" s="116">
        <f t="shared" si="1"/>
        <v>0</v>
      </c>
      <c r="K6" s="116">
        <f t="shared" si="2"/>
        <v>0</v>
      </c>
      <c r="L6" s="115">
        <v>1</v>
      </c>
      <c r="O6" s="857"/>
      <c r="P6" s="857"/>
      <c r="Q6" s="857"/>
    </row>
    <row r="7" spans="1:17" ht="46.8" x14ac:dyDescent="0.3">
      <c r="A7" s="259" t="str">
        <f>IF(L7=1,"Drones-"&amp;TEXT(COUNTIF($L$3:L7, "1"), "0"), "")</f>
        <v>Drones-5</v>
      </c>
      <c r="B7" s="260" t="s">
        <v>43</v>
      </c>
      <c r="C7" s="164" t="s">
        <v>420</v>
      </c>
      <c r="D7" s="153"/>
      <c r="E7" s="172"/>
      <c r="F7" s="173"/>
      <c r="G7" s="137" t="s">
        <v>101</v>
      </c>
      <c r="H7" s="140">
        <f>COUNTIFS(B:B,"=Critical",G:G,"=Select from Drop Down List")</f>
        <v>0</v>
      </c>
      <c r="I7" s="116">
        <f t="shared" si="0"/>
        <v>1</v>
      </c>
      <c r="J7" s="116">
        <f t="shared" si="1"/>
        <v>0</v>
      </c>
      <c r="K7" s="116">
        <f t="shared" si="2"/>
        <v>0</v>
      </c>
      <c r="L7" s="115">
        <v>1</v>
      </c>
    </row>
    <row r="8" spans="1:17" ht="31.2" x14ac:dyDescent="0.3">
      <c r="A8" s="259" t="str">
        <f>IF(L8=1,"Drones-"&amp;TEXT(COUNTIF($L$3:L8, "1"), "0"), "")</f>
        <v>Drones-6</v>
      </c>
      <c r="B8" s="133" t="s">
        <v>43</v>
      </c>
      <c r="C8" s="164" t="s">
        <v>421</v>
      </c>
      <c r="D8" s="153"/>
      <c r="E8" s="168"/>
      <c r="F8" s="137"/>
      <c r="G8" s="240" t="s">
        <v>101</v>
      </c>
      <c r="H8" s="140">
        <f>COUNTIFS(B:B,"=Critical",G:G,"=Function Available")</f>
        <v>0</v>
      </c>
      <c r="I8" s="116">
        <f t="shared" si="0"/>
        <v>1</v>
      </c>
      <c r="J8" s="116">
        <f t="shared" si="1"/>
        <v>0</v>
      </c>
      <c r="K8" s="116">
        <f t="shared" si="2"/>
        <v>0</v>
      </c>
      <c r="L8" s="115">
        <v>1</v>
      </c>
    </row>
    <row r="9" spans="1:17" ht="46.8" x14ac:dyDescent="0.3">
      <c r="A9" s="259" t="str">
        <f>IF(L9=1,"Drones-"&amp;TEXT(COUNTIF($L$3:L9, "1"), "0"), "")</f>
        <v>Drones-7</v>
      </c>
      <c r="B9" s="133" t="s">
        <v>43</v>
      </c>
      <c r="C9" s="164" t="s">
        <v>422</v>
      </c>
      <c r="D9" s="153"/>
      <c r="E9" s="168"/>
      <c r="F9" s="137"/>
      <c r="G9" s="240" t="s">
        <v>101</v>
      </c>
      <c r="H9" s="140">
        <f>COUNTIFS(B:B,"=Critical",G:G,"=Function Not Available")</f>
        <v>0</v>
      </c>
      <c r="I9" s="116">
        <f t="shared" si="0"/>
        <v>1</v>
      </c>
      <c r="J9" s="116">
        <f t="shared" si="1"/>
        <v>0</v>
      </c>
      <c r="K9" s="116">
        <f t="shared" si="2"/>
        <v>0</v>
      </c>
      <c r="L9" s="115">
        <v>1</v>
      </c>
    </row>
    <row r="10" spans="1:17" ht="46.8" x14ac:dyDescent="0.3">
      <c r="A10" s="259" t="str">
        <f>IF(L10=1,"Drones-"&amp;TEXT(COUNTIF($L$3:L10, "1"), "0"), "")</f>
        <v>Drones-8</v>
      </c>
      <c r="B10" s="133" t="s">
        <v>43</v>
      </c>
      <c r="C10" s="164" t="s">
        <v>423</v>
      </c>
      <c r="D10" s="153"/>
      <c r="E10" s="168"/>
      <c r="F10" s="137"/>
      <c r="G10" s="240" t="s">
        <v>101</v>
      </c>
      <c r="H10" s="140">
        <f>COUNTIFS(B:B,"=Critical",G:G,"=Exception")</f>
        <v>0</v>
      </c>
      <c r="I10" s="116">
        <f t="shared" si="0"/>
        <v>1</v>
      </c>
      <c r="J10" s="116">
        <f t="shared" si="1"/>
        <v>0</v>
      </c>
      <c r="K10" s="116">
        <f t="shared" si="2"/>
        <v>0</v>
      </c>
      <c r="L10" s="115">
        <v>1</v>
      </c>
    </row>
    <row r="11" spans="1:17" ht="31.2" x14ac:dyDescent="0.3">
      <c r="A11" s="259" t="str">
        <f>IF(L11=1,"Drones-"&amp;TEXT(COUNTIF($L$3:L11, "1"), "0"), "")</f>
        <v>Drones-9</v>
      </c>
      <c r="B11" s="169" t="s">
        <v>43</v>
      </c>
      <c r="C11" s="170" t="s">
        <v>424</v>
      </c>
      <c r="D11" s="323"/>
      <c r="E11" s="175"/>
      <c r="F11" s="176"/>
      <c r="G11" s="242" t="s">
        <v>101</v>
      </c>
      <c r="H11" s="146">
        <f>COUNTIFS(B:B,"=Important",G:G,"=Select from Drop Down List")</f>
        <v>36</v>
      </c>
      <c r="I11" s="116">
        <f t="shared" si="0"/>
        <v>1</v>
      </c>
      <c r="J11" s="116">
        <f t="shared" si="1"/>
        <v>0</v>
      </c>
      <c r="K11" s="116">
        <f t="shared" si="2"/>
        <v>0</v>
      </c>
      <c r="L11" s="115">
        <v>1</v>
      </c>
    </row>
    <row r="12" spans="1:17" ht="46.8" x14ac:dyDescent="0.3">
      <c r="A12" s="259" t="str">
        <f>IF(L12=1,"Drones-"&amp;TEXT(COUNTIF($L$3:L12, "1"), "0"), "")</f>
        <v>Drones-10</v>
      </c>
      <c r="B12" s="169" t="s">
        <v>43</v>
      </c>
      <c r="C12" s="350" t="s">
        <v>425</v>
      </c>
      <c r="D12" s="323"/>
      <c r="E12" s="351"/>
      <c r="F12" s="177"/>
      <c r="G12" s="242" t="s">
        <v>101</v>
      </c>
      <c r="H12" s="146">
        <f>COUNTIFS(B:B,"=Important",G:G,"=Function Available")</f>
        <v>0</v>
      </c>
      <c r="I12" s="116">
        <f t="shared" si="0"/>
        <v>1</v>
      </c>
      <c r="J12" s="116">
        <f t="shared" si="1"/>
        <v>0</v>
      </c>
      <c r="K12" s="116">
        <f t="shared" si="2"/>
        <v>0</v>
      </c>
      <c r="L12" s="115">
        <v>1</v>
      </c>
    </row>
    <row r="13" spans="1:17" ht="46.8" x14ac:dyDescent="0.3">
      <c r="A13" s="259" t="str">
        <f>IF(L13=1,"Drones-"&amp;TEXT(COUNTIF($L$3:L13, "1"), "0"), "")</f>
        <v>Drones-11</v>
      </c>
      <c r="B13" s="169" t="s">
        <v>43</v>
      </c>
      <c r="C13" s="350" t="s">
        <v>426</v>
      </c>
      <c r="D13" s="323"/>
      <c r="E13" s="351"/>
      <c r="F13" s="177"/>
      <c r="G13" s="242" t="s">
        <v>101</v>
      </c>
      <c r="H13" s="146">
        <f>COUNTIFS(B:B,"=Important",G:G,"=Function Not Available")</f>
        <v>0</v>
      </c>
      <c r="I13" s="116">
        <f t="shared" si="0"/>
        <v>1</v>
      </c>
      <c r="J13" s="116">
        <f t="shared" si="1"/>
        <v>0</v>
      </c>
      <c r="K13" s="116">
        <f t="shared" si="2"/>
        <v>0</v>
      </c>
      <c r="L13" s="115">
        <v>1</v>
      </c>
    </row>
    <row r="14" spans="1:17" ht="46.8" x14ac:dyDescent="0.3">
      <c r="A14" s="259" t="str">
        <f>IF(L14=1,"Drones-"&amp;TEXT(COUNTIF($L$3:L14, "1"), "0"), "")</f>
        <v>Drones-12</v>
      </c>
      <c r="B14" s="169" t="s">
        <v>43</v>
      </c>
      <c r="C14" s="350" t="s">
        <v>427</v>
      </c>
      <c r="D14" s="323"/>
      <c r="E14" s="351"/>
      <c r="F14" s="177"/>
      <c r="G14" s="242" t="s">
        <v>101</v>
      </c>
      <c r="H14" s="146">
        <f>COUNTIFS(B:B,"=Important",G:G,"=Exception")</f>
        <v>0</v>
      </c>
      <c r="I14" s="116">
        <f t="shared" si="0"/>
        <v>1</v>
      </c>
      <c r="J14" s="116">
        <f t="shared" si="1"/>
        <v>0</v>
      </c>
      <c r="K14" s="116">
        <f t="shared" si="2"/>
        <v>0</v>
      </c>
      <c r="L14" s="115">
        <v>1</v>
      </c>
    </row>
    <row r="15" spans="1:17" ht="46.8" x14ac:dyDescent="0.3">
      <c r="A15" s="259" t="str">
        <f>IF(L15=1,"Drones-"&amp;TEXT(COUNTIF($L$3:L15, "1"), "0"), "")</f>
        <v>Drones-13</v>
      </c>
      <c r="B15" s="169" t="s">
        <v>43</v>
      </c>
      <c r="C15" s="350" t="s">
        <v>428</v>
      </c>
      <c r="D15" s="323"/>
      <c r="E15" s="351"/>
      <c r="F15" s="177"/>
      <c r="G15" s="242" t="s">
        <v>101</v>
      </c>
      <c r="H15" s="147">
        <f>COUNTIFS(B:B,"=Informational",G:G,"=Select from Drop Down List")</f>
        <v>2</v>
      </c>
      <c r="I15" s="116">
        <f t="shared" si="0"/>
        <v>1</v>
      </c>
      <c r="J15" s="116">
        <f t="shared" si="1"/>
        <v>0</v>
      </c>
      <c r="K15" s="116">
        <f t="shared" si="2"/>
        <v>0</v>
      </c>
      <c r="L15" s="115">
        <v>1</v>
      </c>
    </row>
    <row r="16" spans="1:17" ht="31.2" x14ac:dyDescent="0.3">
      <c r="A16" s="259" t="str">
        <f>IF(L16=1,"Drones-"&amp;TEXT(COUNTIF($L$3:L16, "1"), "0"), "")</f>
        <v>Drones-14</v>
      </c>
      <c r="B16" s="169" t="s">
        <v>43</v>
      </c>
      <c r="C16" s="350" t="s">
        <v>429</v>
      </c>
      <c r="D16" s="323"/>
      <c r="E16" s="351"/>
      <c r="F16" s="177"/>
      <c r="G16" s="242" t="s">
        <v>101</v>
      </c>
      <c r="H16" s="147">
        <f>COUNTIFS(B:B,"=Informational",G:G,"=Function Available")</f>
        <v>0</v>
      </c>
      <c r="I16" s="116">
        <f t="shared" si="0"/>
        <v>1</v>
      </c>
      <c r="J16" s="116">
        <f t="shared" si="1"/>
        <v>0</v>
      </c>
      <c r="K16" s="116">
        <f t="shared" si="2"/>
        <v>0</v>
      </c>
      <c r="L16" s="115">
        <v>1</v>
      </c>
    </row>
    <row r="17" spans="1:12" ht="31.2" x14ac:dyDescent="0.3">
      <c r="A17" s="259" t="str">
        <f>IF(L17=1,"Drones-"&amp;TEXT(COUNTIF($L$3:L17, "1"), "0"), "")</f>
        <v>Drones-15</v>
      </c>
      <c r="B17" s="169" t="s">
        <v>43</v>
      </c>
      <c r="C17" s="350" t="s">
        <v>430</v>
      </c>
      <c r="D17" s="323"/>
      <c r="E17" s="351"/>
      <c r="F17" s="177"/>
      <c r="G17" s="242" t="s">
        <v>101</v>
      </c>
      <c r="H17" s="147">
        <f>COUNTIFS(B:B,"=Informational",G:G,"=Function Not Available")</f>
        <v>0</v>
      </c>
      <c r="I17" s="116">
        <f t="shared" si="0"/>
        <v>1</v>
      </c>
      <c r="J17" s="116">
        <f t="shared" si="1"/>
        <v>0</v>
      </c>
      <c r="K17" s="116">
        <f t="shared" si="2"/>
        <v>0</v>
      </c>
      <c r="L17" s="115">
        <v>1</v>
      </c>
    </row>
    <row r="18" spans="1:12" ht="31.2" x14ac:dyDescent="0.3">
      <c r="A18" s="259" t="str">
        <f>IF(L18=1,"Drones-"&amp;TEXT(COUNTIF($L$3:L18, "1"), "0"), "")</f>
        <v>Drones-16</v>
      </c>
      <c r="B18" s="169" t="s">
        <v>43</v>
      </c>
      <c r="C18" s="350" t="s">
        <v>431</v>
      </c>
      <c r="D18" s="323"/>
      <c r="E18" s="351"/>
      <c r="F18" s="177"/>
      <c r="G18" s="242" t="s">
        <v>101</v>
      </c>
      <c r="H18" s="147">
        <f>COUNTIFS(B:B,"=Informational",G:G,"=Exception")</f>
        <v>0</v>
      </c>
      <c r="I18" s="116">
        <f t="shared" si="0"/>
        <v>1</v>
      </c>
      <c r="J18" s="116">
        <f t="shared" si="1"/>
        <v>0</v>
      </c>
      <c r="K18" s="116">
        <f t="shared" si="2"/>
        <v>0</v>
      </c>
      <c r="L18" s="115">
        <v>1</v>
      </c>
    </row>
    <row r="19" spans="1:12" ht="31.2" x14ac:dyDescent="0.3">
      <c r="A19" s="259" t="str">
        <f>IF(L19=1,"Drones-"&amp;TEXT(COUNTIF($L$3:L19, "1"), "0"), "")</f>
        <v>Drones-17</v>
      </c>
      <c r="B19" s="169" t="s">
        <v>43</v>
      </c>
      <c r="C19" s="350" t="s">
        <v>432</v>
      </c>
      <c r="D19" s="323"/>
      <c r="E19" s="351"/>
      <c r="F19" s="177"/>
      <c r="G19" s="242" t="s">
        <v>101</v>
      </c>
      <c r="H19" s="146"/>
      <c r="I19" s="116">
        <f t="shared" si="0"/>
        <v>1</v>
      </c>
      <c r="J19" s="116">
        <f t="shared" si="1"/>
        <v>0</v>
      </c>
      <c r="K19" s="116">
        <f t="shared" si="2"/>
        <v>0</v>
      </c>
      <c r="L19" s="115">
        <v>1</v>
      </c>
    </row>
    <row r="20" spans="1:12" ht="46.8" x14ac:dyDescent="0.3">
      <c r="A20" s="259" t="str">
        <f>IF(L20=1,"Drones-"&amp;TEXT(COUNTIF($L$3:L20, "1"), "0"), "")</f>
        <v>Drones-18</v>
      </c>
      <c r="B20" s="169" t="s">
        <v>43</v>
      </c>
      <c r="C20" s="350" t="s">
        <v>433</v>
      </c>
      <c r="D20" s="323"/>
      <c r="E20" s="351"/>
      <c r="F20" s="177"/>
      <c r="G20" s="242" t="s">
        <v>101</v>
      </c>
      <c r="H20" s="146"/>
      <c r="I20" s="116">
        <f t="shared" si="0"/>
        <v>1</v>
      </c>
      <c r="J20" s="116">
        <f t="shared" si="1"/>
        <v>0</v>
      </c>
      <c r="K20" s="116">
        <f t="shared" si="2"/>
        <v>0</v>
      </c>
      <c r="L20" s="115">
        <v>1</v>
      </c>
    </row>
    <row r="21" spans="1:12" ht="31.2" x14ac:dyDescent="0.3">
      <c r="A21" s="259" t="str">
        <f>IF(L21=1,"Drones-"&amp;TEXT(COUNTIF($L$3:L21, "1"), "0"), "")</f>
        <v>Drones-19</v>
      </c>
      <c r="B21" s="169" t="s">
        <v>43</v>
      </c>
      <c r="C21" s="350" t="s">
        <v>434</v>
      </c>
      <c r="D21" s="323"/>
      <c r="E21" s="351"/>
      <c r="F21" s="177"/>
      <c r="G21" s="242" t="s">
        <v>101</v>
      </c>
      <c r="H21" s="146"/>
      <c r="I21" s="116">
        <f t="shared" si="0"/>
        <v>1</v>
      </c>
      <c r="J21" s="116">
        <f t="shared" si="1"/>
        <v>0</v>
      </c>
      <c r="K21" s="116">
        <f t="shared" si="2"/>
        <v>0</v>
      </c>
      <c r="L21" s="115">
        <v>1</v>
      </c>
    </row>
    <row r="22" spans="1:12" ht="46.8" x14ac:dyDescent="0.3">
      <c r="A22" s="259" t="str">
        <f>IF(L22=1,"Drones-"&amp;TEXT(COUNTIF($L$3:L22, "1"), "0"), "")</f>
        <v>Drones-20</v>
      </c>
      <c r="B22" s="169" t="s">
        <v>43</v>
      </c>
      <c r="C22" s="350" t="s">
        <v>435</v>
      </c>
      <c r="D22" s="323"/>
      <c r="E22" s="351"/>
      <c r="F22" s="177"/>
      <c r="G22" s="242" t="s">
        <v>101</v>
      </c>
      <c r="H22" s="146"/>
      <c r="I22" s="116">
        <f t="shared" si="0"/>
        <v>1</v>
      </c>
      <c r="J22" s="116">
        <f t="shared" si="1"/>
        <v>0</v>
      </c>
      <c r="K22" s="116">
        <f t="shared" si="2"/>
        <v>0</v>
      </c>
      <c r="L22" s="115">
        <v>1</v>
      </c>
    </row>
    <row r="23" spans="1:12" ht="31.2" x14ac:dyDescent="0.3">
      <c r="A23" s="259" t="str">
        <f>IF(L23=1,"Drones-"&amp;TEXT(COUNTIF($L$3:L23, "1"), "0"), "")</f>
        <v>Drones-21</v>
      </c>
      <c r="B23" s="169" t="s">
        <v>43</v>
      </c>
      <c r="C23" s="350" t="s">
        <v>436</v>
      </c>
      <c r="D23" s="323"/>
      <c r="E23" s="351"/>
      <c r="F23" s="177"/>
      <c r="G23" s="242" t="s">
        <v>101</v>
      </c>
      <c r="H23" s="146"/>
      <c r="I23" s="116">
        <f t="shared" si="0"/>
        <v>1</v>
      </c>
      <c r="J23" s="116">
        <f t="shared" si="1"/>
        <v>0</v>
      </c>
      <c r="K23" s="116">
        <f t="shared" si="2"/>
        <v>0</v>
      </c>
      <c r="L23" s="115">
        <v>1</v>
      </c>
    </row>
    <row r="24" spans="1:12" ht="46.8" x14ac:dyDescent="0.3">
      <c r="A24" s="259" t="str">
        <f>IF(L24=1,"Drones-"&amp;TEXT(COUNTIF($L$3:L24, "1"), "0"), "")</f>
        <v>Drones-22</v>
      </c>
      <c r="B24" s="169" t="s">
        <v>43</v>
      </c>
      <c r="C24" s="350" t="s">
        <v>437</v>
      </c>
      <c r="D24" s="323"/>
      <c r="E24" s="351"/>
      <c r="F24" s="177"/>
      <c r="G24" s="242" t="s">
        <v>101</v>
      </c>
      <c r="H24" s="146"/>
      <c r="I24" s="116">
        <f t="shared" si="0"/>
        <v>1</v>
      </c>
      <c r="J24" s="116">
        <f t="shared" si="1"/>
        <v>0</v>
      </c>
      <c r="K24" s="116">
        <f t="shared" si="2"/>
        <v>0</v>
      </c>
      <c r="L24" s="115">
        <v>1</v>
      </c>
    </row>
    <row r="25" spans="1:12" ht="46.8" x14ac:dyDescent="0.3">
      <c r="A25" s="259" t="str">
        <f>IF(L25=1,"Drones-"&amp;TEXT(COUNTIF($L$3:L25, "1"), "0"), "")</f>
        <v>Drones-23</v>
      </c>
      <c r="B25" s="169" t="s">
        <v>43</v>
      </c>
      <c r="C25" s="350" t="s">
        <v>438</v>
      </c>
      <c r="D25" s="323"/>
      <c r="E25" s="351"/>
      <c r="F25" s="177"/>
      <c r="G25" s="242" t="s">
        <v>101</v>
      </c>
      <c r="H25" s="146"/>
      <c r="I25" s="116">
        <f t="shared" si="0"/>
        <v>1</v>
      </c>
      <c r="J25" s="116">
        <f t="shared" si="1"/>
        <v>0</v>
      </c>
      <c r="K25" s="116">
        <f t="shared" si="2"/>
        <v>0</v>
      </c>
      <c r="L25" s="115">
        <v>1</v>
      </c>
    </row>
    <row r="26" spans="1:12" ht="46.8" x14ac:dyDescent="0.3">
      <c r="A26" s="259" t="str">
        <f>IF(L26=1,"Drones-"&amp;TEXT(COUNTIF($L$3:L26, "1"), "0"), "")</f>
        <v>Drones-24</v>
      </c>
      <c r="B26" s="169" t="s">
        <v>43</v>
      </c>
      <c r="C26" s="350" t="s">
        <v>439</v>
      </c>
      <c r="D26" s="323"/>
      <c r="E26" s="351"/>
      <c r="F26" s="177"/>
      <c r="G26" s="242" t="s">
        <v>101</v>
      </c>
      <c r="H26" s="146"/>
      <c r="I26" s="116">
        <f t="shared" si="0"/>
        <v>1</v>
      </c>
      <c r="J26" s="116">
        <f t="shared" si="1"/>
        <v>0</v>
      </c>
      <c r="K26" s="116">
        <f t="shared" si="2"/>
        <v>0</v>
      </c>
      <c r="L26" s="115">
        <v>1</v>
      </c>
    </row>
    <row r="27" spans="1:12" ht="46.8" x14ac:dyDescent="0.3">
      <c r="A27" s="259" t="str">
        <f>IF(L27=1,"Drones-"&amp;TEXT(COUNTIF($L$3:L27, "1"), "0"), "")</f>
        <v>Drones-25</v>
      </c>
      <c r="B27" s="169" t="s">
        <v>43</v>
      </c>
      <c r="C27" s="350" t="s">
        <v>440</v>
      </c>
      <c r="D27" s="323"/>
      <c r="E27" s="351"/>
      <c r="F27" s="177"/>
      <c r="G27" s="240" t="s">
        <v>101</v>
      </c>
      <c r="H27" s="146"/>
      <c r="I27" s="116">
        <f t="shared" si="0"/>
        <v>1</v>
      </c>
      <c r="J27" s="116">
        <f t="shared" si="1"/>
        <v>0</v>
      </c>
      <c r="K27" s="116">
        <f t="shared" si="2"/>
        <v>0</v>
      </c>
      <c r="L27" s="115">
        <v>1</v>
      </c>
    </row>
    <row r="28" spans="1:12" x14ac:dyDescent="0.3">
      <c r="A28" s="316"/>
      <c r="B28" s="126"/>
      <c r="C28" s="193" t="s">
        <v>168</v>
      </c>
      <c r="D28" s="194"/>
      <c r="E28" s="180"/>
      <c r="F28" s="181"/>
      <c r="G28" s="606"/>
      <c r="H28" s="146">
        <f>COUNTIFS(B:B,"=Important",G:G,"=Function Available")</f>
        <v>0</v>
      </c>
    </row>
    <row r="29" spans="1:12" ht="45" customHeight="1" x14ac:dyDescent="0.3">
      <c r="A29" s="259" t="str">
        <f>IF(L29=1,"Drones-"&amp;TEXT(COUNTIF($L$3:L29, "1"), "0"), "")</f>
        <v>Drones-26</v>
      </c>
      <c r="B29" s="183" t="s">
        <v>43</v>
      </c>
      <c r="C29" s="278" t="s">
        <v>185</v>
      </c>
      <c r="D29" s="185"/>
      <c r="E29" s="186"/>
      <c r="F29" s="187"/>
      <c r="G29" s="249" t="s">
        <v>101</v>
      </c>
      <c r="H29" s="146">
        <f>COUNTIFS(B:B,"=Important",G:G,"=Function Not Available")</f>
        <v>0</v>
      </c>
      <c r="I29" s="116">
        <f t="shared" ref="I29:I35" si="3">IF(NOT(ISBLANK($B29)),VLOOKUP($B29,specdata,2,FALSE()),"")</f>
        <v>1</v>
      </c>
      <c r="J29" s="116">
        <f t="shared" ref="J29:J35" si="4">VLOOKUP(G29,AvailabilityData,2,FALSE())</f>
        <v>0</v>
      </c>
      <c r="K29" s="116">
        <f t="shared" ref="K29:K35" si="5">I29*J29</f>
        <v>0</v>
      </c>
      <c r="L29" s="115">
        <v>1</v>
      </c>
    </row>
    <row r="30" spans="1:12" ht="30" customHeight="1" x14ac:dyDescent="0.3">
      <c r="A30" s="259" t="str">
        <f>IF(L30=1,"Drones-"&amp;TEXT(COUNTIF($L$3:L30, "1"), "0"), "")</f>
        <v>Drones-27</v>
      </c>
      <c r="B30" s="183" t="s">
        <v>43</v>
      </c>
      <c r="C30" s="154" t="s">
        <v>170</v>
      </c>
      <c r="D30" s="185"/>
      <c r="E30" s="186"/>
      <c r="F30" s="191"/>
      <c r="G30" s="137" t="s">
        <v>101</v>
      </c>
      <c r="H30" s="146">
        <f>COUNTIFS(B:B,"=Important",G:G,"=Exception")</f>
        <v>0</v>
      </c>
      <c r="I30" s="116">
        <f t="shared" si="3"/>
        <v>1</v>
      </c>
      <c r="J30" s="116">
        <f t="shared" si="4"/>
        <v>0</v>
      </c>
      <c r="K30" s="116">
        <f t="shared" si="5"/>
        <v>0</v>
      </c>
      <c r="L30" s="115">
        <v>1</v>
      </c>
    </row>
    <row r="31" spans="1:12" ht="30" customHeight="1" x14ac:dyDescent="0.3">
      <c r="A31" s="259" t="str">
        <f>IF(L31=1,"Drones-"&amp;TEXT(COUNTIF($L$3:L31, "1"), "0"), "")</f>
        <v>Drones-28</v>
      </c>
      <c r="B31" s="183" t="s">
        <v>43</v>
      </c>
      <c r="C31" s="154" t="s">
        <v>171</v>
      </c>
      <c r="D31" s="185"/>
      <c r="E31" s="186"/>
      <c r="F31" s="166"/>
      <c r="G31" s="137" t="s">
        <v>101</v>
      </c>
      <c r="H31" s="147">
        <f>COUNTIFS(B:B,"=Informational",G:G,"=Select from Drop Down List")</f>
        <v>2</v>
      </c>
      <c r="I31" s="116">
        <f t="shared" si="3"/>
        <v>1</v>
      </c>
      <c r="J31" s="116">
        <f t="shared" si="4"/>
        <v>0</v>
      </c>
      <c r="K31" s="116">
        <f t="shared" si="5"/>
        <v>0</v>
      </c>
      <c r="L31" s="115">
        <v>1</v>
      </c>
    </row>
    <row r="32" spans="1:12" ht="30" customHeight="1" x14ac:dyDescent="0.3">
      <c r="A32" s="259" t="str">
        <f>IF(L32=1,"Drones-"&amp;TEXT(COUNTIF($L$3:L32, "1"), "0"), "")</f>
        <v>Drones-29</v>
      </c>
      <c r="B32" s="183" t="s">
        <v>43</v>
      </c>
      <c r="C32" s="154" t="s">
        <v>172</v>
      </c>
      <c r="D32" s="270"/>
      <c r="E32" s="186"/>
      <c r="F32" s="166"/>
      <c r="G32" s="137" t="s">
        <v>101</v>
      </c>
      <c r="H32" s="147">
        <f>COUNTIFS(B:B,"=Informational",G:G,"=Function Available")</f>
        <v>0</v>
      </c>
      <c r="I32" s="116">
        <f t="shared" si="3"/>
        <v>1</v>
      </c>
      <c r="J32" s="116">
        <f t="shared" si="4"/>
        <v>0</v>
      </c>
      <c r="K32" s="116">
        <f t="shared" si="5"/>
        <v>0</v>
      </c>
      <c r="L32" s="115">
        <v>1</v>
      </c>
    </row>
    <row r="33" spans="1:12" ht="30" customHeight="1" x14ac:dyDescent="0.3">
      <c r="A33" s="259" t="str">
        <f>IF(L33=1,"Drones-"&amp;TEXT(COUNTIF($L$3:L33, "1"), "0"), "")</f>
        <v>Drones-30</v>
      </c>
      <c r="B33" s="183" t="s">
        <v>43</v>
      </c>
      <c r="C33" s="164" t="s">
        <v>255</v>
      </c>
      <c r="D33" s="270"/>
      <c r="E33" s="186"/>
      <c r="F33" s="166"/>
      <c r="G33" s="137" t="s">
        <v>101</v>
      </c>
      <c r="H33" s="147">
        <f>COUNTIFS(B:B,"=Informational",G:G,"=Function Not Available")</f>
        <v>0</v>
      </c>
      <c r="I33" s="116">
        <f t="shared" si="3"/>
        <v>1</v>
      </c>
      <c r="J33" s="116">
        <f t="shared" si="4"/>
        <v>0</v>
      </c>
      <c r="K33" s="116">
        <f t="shared" si="5"/>
        <v>0</v>
      </c>
      <c r="L33" s="115">
        <v>1</v>
      </c>
    </row>
    <row r="34" spans="1:12" ht="46.8" x14ac:dyDescent="0.3">
      <c r="A34" s="259" t="str">
        <f>IF(L34=1,"Drones-"&amp;TEXT(COUNTIF($L$3:L34, "1"), "0"), "")</f>
        <v>Drones-31</v>
      </c>
      <c r="B34" s="183" t="s">
        <v>43</v>
      </c>
      <c r="C34" s="164" t="s">
        <v>411</v>
      </c>
      <c r="D34" s="270"/>
      <c r="E34" s="186"/>
      <c r="F34" s="166"/>
      <c r="G34" s="137" t="s">
        <v>101</v>
      </c>
      <c r="H34" s="147">
        <f>COUNTIFS(B:B,"=Informational",G:G,"=Exception")</f>
        <v>0</v>
      </c>
      <c r="I34" s="116">
        <f t="shared" si="3"/>
        <v>1</v>
      </c>
      <c r="J34" s="116">
        <f t="shared" si="4"/>
        <v>0</v>
      </c>
      <c r="K34" s="116">
        <f t="shared" si="5"/>
        <v>0</v>
      </c>
      <c r="L34" s="115">
        <v>1</v>
      </c>
    </row>
    <row r="35" spans="1:12" ht="30" customHeight="1" x14ac:dyDescent="0.3">
      <c r="A35" s="259" t="str">
        <f>IF(L35=1,"Drones-"&amp;TEXT(COUNTIF($L$3:L35, "1"), "0"), "")</f>
        <v>Drones-32</v>
      </c>
      <c r="B35" s="260" t="s">
        <v>43</v>
      </c>
      <c r="C35" s="170" t="s">
        <v>207</v>
      </c>
      <c r="D35" s="171"/>
      <c r="E35" s="172"/>
      <c r="F35" s="173"/>
      <c r="G35" s="137" t="s">
        <v>101</v>
      </c>
      <c r="H35" s="348"/>
      <c r="I35" s="116">
        <f t="shared" si="3"/>
        <v>1</v>
      </c>
      <c r="J35" s="116">
        <f t="shared" si="4"/>
        <v>0</v>
      </c>
      <c r="K35" s="116">
        <f t="shared" si="5"/>
        <v>0</v>
      </c>
      <c r="L35" s="115">
        <v>1</v>
      </c>
    </row>
    <row r="36" spans="1:12" x14ac:dyDescent="0.3">
      <c r="A36" s="316"/>
      <c r="B36" s="126"/>
      <c r="C36" s="193" t="s">
        <v>165</v>
      </c>
      <c r="D36" s="179"/>
      <c r="E36" s="180"/>
      <c r="F36" s="181"/>
      <c r="G36" s="606"/>
      <c r="H36" s="348"/>
    </row>
    <row r="37" spans="1:12" ht="30" customHeight="1" x14ac:dyDescent="0.3">
      <c r="A37" s="259" t="str">
        <f>IF(L37=1,"Drones-"&amp;TEXT(COUNTIF($L$3:L37, "1"), "0"), "")</f>
        <v>Drones-33</v>
      </c>
      <c r="B37" s="183" t="s">
        <v>43</v>
      </c>
      <c r="C37" s="184" t="s">
        <v>208</v>
      </c>
      <c r="D37" s="270"/>
      <c r="E37" s="186"/>
      <c r="F37" s="191"/>
      <c r="G37" s="187" t="s">
        <v>101</v>
      </c>
      <c r="H37" s="348"/>
      <c r="I37" s="116">
        <f>IF(NOT(ISBLANK($B37)),VLOOKUP($B37,specdata,2,FALSE()),"")</f>
        <v>1</v>
      </c>
      <c r="J37" s="116">
        <f>VLOOKUP(G37,AvailabilityData,2,FALSE())</f>
        <v>0</v>
      </c>
      <c r="K37" s="116">
        <f>I37*J37</f>
        <v>0</v>
      </c>
      <c r="L37" s="115">
        <v>1</v>
      </c>
    </row>
    <row r="38" spans="1:12" ht="30" customHeight="1" x14ac:dyDescent="0.3">
      <c r="A38" s="259" t="str">
        <f>IF(L38=1,"Drones-"&amp;TEXT(COUNTIF($L$3:L38, "1"), "0"), "")</f>
        <v>Drones-34</v>
      </c>
      <c r="B38" s="183" t="s">
        <v>43</v>
      </c>
      <c r="C38" s="164" t="s">
        <v>257</v>
      </c>
      <c r="D38" s="270"/>
      <c r="E38" s="186"/>
      <c r="F38" s="166"/>
      <c r="G38" s="137" t="s">
        <v>101</v>
      </c>
      <c r="H38" s="348"/>
      <c r="I38" s="116">
        <f>IF(NOT(ISBLANK($B38)),VLOOKUP($B38,specdata,2,FALSE()),"")</f>
        <v>1</v>
      </c>
      <c r="J38" s="116">
        <f>VLOOKUP(G38,AvailabilityData,2,FALSE())</f>
        <v>0</v>
      </c>
      <c r="K38" s="116">
        <f>I38*J38</f>
        <v>0</v>
      </c>
      <c r="L38" s="115">
        <v>1</v>
      </c>
    </row>
    <row r="39" spans="1:12" ht="30" customHeight="1" x14ac:dyDescent="0.3">
      <c r="A39" s="259" t="str">
        <f>IF(L39=1,"Drones-"&amp;TEXT(COUNTIF($L$3:L39, "1"), "0"), "")</f>
        <v>Drones-35</v>
      </c>
      <c r="B39" s="183" t="s">
        <v>43</v>
      </c>
      <c r="C39" s="164" t="s">
        <v>210</v>
      </c>
      <c r="D39" s="270"/>
      <c r="E39" s="186"/>
      <c r="F39" s="166"/>
      <c r="G39" s="137" t="s">
        <v>101</v>
      </c>
      <c r="I39" s="116">
        <f>IF(NOT(ISBLANK($B39)),VLOOKUP($B39,specdata,2,FALSE()),"")</f>
        <v>1</v>
      </c>
      <c r="J39" s="116">
        <f>VLOOKUP(G39,AvailabilityData,2,FALSE())</f>
        <v>0</v>
      </c>
      <c r="K39" s="116">
        <f>I39*J39</f>
        <v>0</v>
      </c>
      <c r="L39" s="115">
        <v>1</v>
      </c>
    </row>
    <row r="40" spans="1:12" ht="30" customHeight="1" x14ac:dyDescent="0.3">
      <c r="A40" s="259" t="str">
        <f>IF(L40=1,"Drones-"&amp;TEXT(COUNTIF($L$3:L40, "1"), "0"), "")</f>
        <v>Drones-36</v>
      </c>
      <c r="B40" s="260" t="s">
        <v>43</v>
      </c>
      <c r="C40" s="170" t="s">
        <v>211</v>
      </c>
      <c r="D40" s="171"/>
      <c r="E40" s="172"/>
      <c r="F40" s="173"/>
      <c r="G40" s="137" t="s">
        <v>101</v>
      </c>
      <c r="I40" s="116">
        <f>IF(NOT(ISBLANK($B40)),VLOOKUP($B40,specdata,2,FALSE()),"")</f>
        <v>1</v>
      </c>
      <c r="J40" s="116">
        <f>VLOOKUP(G40,AvailabilityData,2,FALSE())</f>
        <v>0</v>
      </c>
      <c r="K40" s="116">
        <f>I40*J40</f>
        <v>0</v>
      </c>
      <c r="L40" s="115">
        <v>1</v>
      </c>
    </row>
    <row r="41" spans="1:12" x14ac:dyDescent="0.3">
      <c r="A41" s="316"/>
      <c r="B41" s="126"/>
      <c r="C41" s="178" t="s">
        <v>174</v>
      </c>
      <c r="D41" s="179"/>
      <c r="E41" s="180"/>
      <c r="F41" s="181"/>
      <c r="G41" s="606"/>
    </row>
    <row r="42" spans="1:12" ht="30" customHeight="1" x14ac:dyDescent="0.3">
      <c r="A42" s="259" t="str">
        <f>IF(L42=1,"Drones-"&amp;TEXT(COUNTIF($L$3:L42, "1"), "0"), "")</f>
        <v>Drones-37</v>
      </c>
      <c r="B42" s="183" t="s">
        <v>43</v>
      </c>
      <c r="C42" s="184" t="s">
        <v>258</v>
      </c>
      <c r="D42" s="270"/>
      <c r="E42" s="186"/>
      <c r="F42" s="191"/>
      <c r="G42" s="187" t="s">
        <v>101</v>
      </c>
      <c r="I42" s="116">
        <f>IF(NOT(ISBLANK($B42)),VLOOKUP($B42,specdata,2,FALSE()),"")</f>
        <v>1</v>
      </c>
      <c r="J42" s="116">
        <f>VLOOKUP(G42,AvailabilityData,2,FALSE())</f>
        <v>0</v>
      </c>
      <c r="K42" s="116">
        <f>I42*J42</f>
        <v>0</v>
      </c>
      <c r="L42" s="115">
        <v>1</v>
      </c>
    </row>
    <row r="43" spans="1:12" ht="46.8" x14ac:dyDescent="0.3">
      <c r="A43" s="259" t="str">
        <f>IF(L43=1,"Drones-"&amp;TEXT(COUNTIF($L$3:L43, "1"), "0"), "")</f>
        <v>Drones-38</v>
      </c>
      <c r="B43" s="183" t="s">
        <v>43</v>
      </c>
      <c r="C43" s="164" t="s">
        <v>193</v>
      </c>
      <c r="D43" s="270"/>
      <c r="E43" s="186"/>
      <c r="F43" s="166"/>
      <c r="G43" s="137" t="s">
        <v>101</v>
      </c>
      <c r="I43" s="116">
        <f>IF(NOT(ISBLANK($B43)),VLOOKUP($B43,specdata,2,FALSE()),"")</f>
        <v>1</v>
      </c>
      <c r="J43" s="116">
        <f>VLOOKUP(G43,AvailabilityData,2,FALSE())</f>
        <v>0</v>
      </c>
      <c r="K43" s="116">
        <f>I43*J43</f>
        <v>0</v>
      </c>
      <c r="L43" s="115">
        <v>1</v>
      </c>
    </row>
  </sheetData>
  <sheetProtection algorithmName="SHA-512" hashValue="wE/f38lXrYOQT5MPcCTG2O73YhWXIiJKGC1qiRmLOin1JedsUdogTQ1RL2InLMmdtbbF1w6vuQRmLFuLf/Kvag==" saltValue="zp5+sXk7lVe3adXa+nZxXg==" spinCount="100000" sheet="1" objects="1" scenarios="1"/>
  <mergeCells count="1">
    <mergeCell ref="O3:Q6"/>
  </mergeCells>
  <conditionalFormatting sqref="B1:B1048576">
    <cfRule type="cellIs" dxfId="251" priority="2" operator="equal">
      <formula>"Informational"</formula>
    </cfRule>
    <cfRule type="cellIs" dxfId="250" priority="3" operator="equal">
      <formula>"Not Needed"</formula>
    </cfRule>
    <cfRule type="cellIs" dxfId="249" priority="4" operator="equal">
      <formula>"Critical"</formula>
    </cfRule>
    <cfRule type="cellIs" dxfId="248" priority="5" operator="equal">
      <formula>"Extremely Advantageous"</formula>
    </cfRule>
  </conditionalFormatting>
  <conditionalFormatting sqref="G1:G1048576">
    <cfRule type="cellIs" dxfId="247" priority="6" operator="equal">
      <formula>"Exception"</formula>
    </cfRule>
  </conditionalFormatting>
  <conditionalFormatting sqref="G3:G43">
    <cfRule type="cellIs" dxfId="246"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43" xr:uid="{00000000-0002-0000-1100-000000000000}">
      <formula1>Drones!SpecType</formula1>
      <formula2>0</formula2>
    </dataValidation>
    <dataValidation type="list" allowBlank="1" showInputMessage="1" showErrorMessage="1" sqref="G3:G27 G29:G35 G37:G40 G42:G43" xr:uid="{00000000-0002-0000-1100-000001000000}">
      <formula1>Drones!Availability</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pageSetUpPr fitToPage="1"/>
  </sheetPr>
  <dimension ref="A1:K111"/>
  <sheetViews>
    <sheetView zoomScaleNormal="100" zoomScalePageLayoutView="90" workbookViewId="0"/>
  </sheetViews>
  <sheetFormatPr defaultColWidth="9" defaultRowHeight="15.6" x14ac:dyDescent="0.3"/>
  <cols>
    <col min="1" max="1" width="10.59765625" style="113" customWidth="1"/>
    <col min="2" max="2" width="14.59765625" style="113" customWidth="1"/>
    <col min="3" max="3" width="65.59765625" style="114" customWidth="1"/>
    <col min="4" max="4" width="65.59765625" style="115" customWidth="1"/>
    <col min="5" max="5" width="10.59765625" style="115" hidden="1" customWidth="1"/>
    <col min="6" max="6" width="6.59765625" style="115" hidden="1" customWidth="1"/>
    <col min="7" max="7" width="30.59765625" style="115" customWidth="1"/>
    <col min="8" max="11" width="8.59765625" style="131" hidden="1" customWidth="1"/>
    <col min="12" max="16384" width="9" style="115"/>
  </cols>
  <sheetData>
    <row r="1" spans="1:11" s="124" customFormat="1" ht="105" customHeight="1" thickBot="1" x14ac:dyDescent="0.3">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row>
    <row r="2" spans="1:11" x14ac:dyDescent="0.3">
      <c r="A2" s="125" t="s">
        <v>441</v>
      </c>
      <c r="B2" s="161"/>
      <c r="C2" s="127"/>
      <c r="D2" s="128"/>
      <c r="E2" s="130"/>
      <c r="F2" s="130"/>
      <c r="G2" s="840"/>
      <c r="H2" s="131">
        <f>COUNTA(B3:B27)</f>
        <v>22</v>
      </c>
      <c r="K2" s="131">
        <f>SUM(K3:K27)</f>
        <v>0</v>
      </c>
    </row>
    <row r="3" spans="1:11" ht="30" customHeight="1" x14ac:dyDescent="0.3">
      <c r="A3" s="163" t="s">
        <v>442</v>
      </c>
      <c r="B3" s="133" t="s">
        <v>43</v>
      </c>
      <c r="C3" s="134" t="s">
        <v>443</v>
      </c>
      <c r="D3" s="138"/>
      <c r="E3" s="168"/>
      <c r="F3" s="137"/>
      <c r="G3" s="137" t="s">
        <v>101</v>
      </c>
      <c r="H3" s="131">
        <f>COUNTIF(G:G,"=Select from Drop Down List")</f>
        <v>22</v>
      </c>
      <c r="I3" s="131">
        <f t="shared" ref="I3:I10" si="0">IF(NOT(ISBLANK($B3)),VLOOKUP($B3,specdata,2,FALSE()),"")</f>
        <v>1</v>
      </c>
      <c r="J3" s="131">
        <f t="shared" ref="J3:J10" si="1">VLOOKUP(G3,AvailabilityData,2,FALSE())</f>
        <v>0</v>
      </c>
      <c r="K3" s="131">
        <f t="shared" ref="K3:K10" si="2">I3*J3</f>
        <v>0</v>
      </c>
    </row>
    <row r="4" spans="1:11" ht="30" customHeight="1" x14ac:dyDescent="0.3">
      <c r="A4" s="163" t="s">
        <v>444</v>
      </c>
      <c r="B4" s="133" t="s">
        <v>43</v>
      </c>
      <c r="C4" s="134" t="s">
        <v>445</v>
      </c>
      <c r="D4" s="138"/>
      <c r="E4" s="168"/>
      <c r="F4" s="137"/>
      <c r="G4" s="137" t="s">
        <v>101</v>
      </c>
      <c r="H4" s="131">
        <f>COUNTIF(G:G,"=Function Available")</f>
        <v>0</v>
      </c>
      <c r="I4" s="131">
        <f t="shared" si="0"/>
        <v>1</v>
      </c>
      <c r="J4" s="131">
        <f t="shared" si="1"/>
        <v>0</v>
      </c>
      <c r="K4" s="131">
        <f t="shared" si="2"/>
        <v>0</v>
      </c>
    </row>
    <row r="5" spans="1:11" ht="30" customHeight="1" x14ac:dyDescent="0.3">
      <c r="A5" s="163" t="s">
        <v>446</v>
      </c>
      <c r="B5" s="133" t="s">
        <v>43</v>
      </c>
      <c r="C5" s="134" t="s">
        <v>447</v>
      </c>
      <c r="D5" s="138"/>
      <c r="E5" s="168"/>
      <c r="F5" s="137"/>
      <c r="G5" s="137" t="s">
        <v>101</v>
      </c>
      <c r="H5" s="131">
        <f>COUNTIF(F:G,"=Function Not Available")</f>
        <v>0</v>
      </c>
      <c r="I5" s="131">
        <f t="shared" si="0"/>
        <v>1</v>
      </c>
      <c r="J5" s="131">
        <f t="shared" si="1"/>
        <v>0</v>
      </c>
      <c r="K5" s="131">
        <f t="shared" si="2"/>
        <v>0</v>
      </c>
    </row>
    <row r="6" spans="1:11" ht="30" customHeight="1" x14ac:dyDescent="0.3">
      <c r="A6" s="163" t="s">
        <v>448</v>
      </c>
      <c r="B6" s="133" t="s">
        <v>43</v>
      </c>
      <c r="C6" s="134" t="s">
        <v>449</v>
      </c>
      <c r="D6" s="153"/>
      <c r="E6" s="168"/>
      <c r="F6" s="137"/>
      <c r="G6" s="137" t="s">
        <v>101</v>
      </c>
      <c r="H6" s="131">
        <f>COUNTIF(G:G,"=Exception")</f>
        <v>0</v>
      </c>
      <c r="I6" s="131">
        <f t="shared" si="0"/>
        <v>1</v>
      </c>
      <c r="J6" s="131">
        <f t="shared" si="1"/>
        <v>0</v>
      </c>
      <c r="K6" s="131">
        <f t="shared" si="2"/>
        <v>0</v>
      </c>
    </row>
    <row r="7" spans="1:11" ht="30" customHeight="1" x14ac:dyDescent="0.3">
      <c r="A7" s="163" t="s">
        <v>450</v>
      </c>
      <c r="B7" s="133" t="s">
        <v>43</v>
      </c>
      <c r="C7" s="134" t="s">
        <v>451</v>
      </c>
      <c r="D7" s="153"/>
      <c r="E7" s="168"/>
      <c r="F7" s="137"/>
      <c r="G7" s="137" t="s">
        <v>101</v>
      </c>
      <c r="H7" s="140">
        <f>COUNTIFS(B:B,"=Critical",G:G,"=Select from Drop Down List")</f>
        <v>0</v>
      </c>
      <c r="I7" s="131">
        <f t="shared" si="0"/>
        <v>1</v>
      </c>
      <c r="J7" s="131">
        <f t="shared" si="1"/>
        <v>0</v>
      </c>
      <c r="K7" s="131">
        <f t="shared" si="2"/>
        <v>0</v>
      </c>
    </row>
    <row r="8" spans="1:11" ht="30" customHeight="1" x14ac:dyDescent="0.3">
      <c r="A8" s="163" t="s">
        <v>452</v>
      </c>
      <c r="B8" s="133" t="s">
        <v>43</v>
      </c>
      <c r="C8" s="134" t="s">
        <v>453</v>
      </c>
      <c r="D8" s="138"/>
      <c r="E8" s="168"/>
      <c r="F8" s="137"/>
      <c r="G8" s="240" t="s">
        <v>101</v>
      </c>
      <c r="H8" s="140">
        <f>COUNTIFS(B:B,"=Critical",G:G,"=Function Available")</f>
        <v>0</v>
      </c>
      <c r="I8" s="131">
        <f t="shared" si="0"/>
        <v>1</v>
      </c>
      <c r="J8" s="131">
        <f t="shared" si="1"/>
        <v>0</v>
      </c>
      <c r="K8" s="131">
        <f t="shared" si="2"/>
        <v>0</v>
      </c>
    </row>
    <row r="9" spans="1:11" ht="30" customHeight="1" x14ac:dyDescent="0.3">
      <c r="A9" s="163" t="s">
        <v>454</v>
      </c>
      <c r="B9" s="133" t="s">
        <v>43</v>
      </c>
      <c r="C9" s="134" t="s">
        <v>455</v>
      </c>
      <c r="D9" s="138"/>
      <c r="E9" s="168"/>
      <c r="F9" s="137"/>
      <c r="G9" s="240" t="s">
        <v>101</v>
      </c>
      <c r="H9" s="140">
        <f>COUNTIFS(B:B,"=Critical",G:G,"=Function Not Available")</f>
        <v>0</v>
      </c>
      <c r="I9" s="131">
        <f t="shared" si="0"/>
        <v>1</v>
      </c>
      <c r="J9" s="131">
        <f t="shared" si="1"/>
        <v>0</v>
      </c>
      <c r="K9" s="131">
        <f t="shared" si="2"/>
        <v>0</v>
      </c>
    </row>
    <row r="10" spans="1:11" ht="30" customHeight="1" x14ac:dyDescent="0.3">
      <c r="A10" s="352" t="s">
        <v>456</v>
      </c>
      <c r="B10" s="169" t="s">
        <v>43</v>
      </c>
      <c r="C10" s="271" t="s">
        <v>457</v>
      </c>
      <c r="D10" s="323"/>
      <c r="E10" s="175"/>
      <c r="F10" s="176"/>
      <c r="G10" s="137" t="s">
        <v>101</v>
      </c>
      <c r="H10" s="140">
        <f>COUNTIFS(B:B,"=Critical",G:G,"=Exception")</f>
        <v>0</v>
      </c>
      <c r="I10" s="131">
        <f t="shared" si="0"/>
        <v>1</v>
      </c>
      <c r="J10" s="131">
        <f t="shared" si="1"/>
        <v>0</v>
      </c>
      <c r="K10" s="131">
        <f t="shared" si="2"/>
        <v>0</v>
      </c>
    </row>
    <row r="11" spans="1:11" x14ac:dyDescent="0.3">
      <c r="A11" s="316"/>
      <c r="B11" s="126"/>
      <c r="C11" s="243" t="s">
        <v>168</v>
      </c>
      <c r="D11" s="194"/>
      <c r="E11" s="180"/>
      <c r="F11" s="181"/>
      <c r="G11" s="606"/>
      <c r="H11" s="146">
        <f>COUNTIFS(B:B,"=Important",G:G,"=Select from Drop Down List")</f>
        <v>20</v>
      </c>
    </row>
    <row r="12" spans="1:11" ht="30" customHeight="1" x14ac:dyDescent="0.3">
      <c r="A12" s="259" t="s">
        <v>458</v>
      </c>
      <c r="B12" s="183" t="s">
        <v>43</v>
      </c>
      <c r="C12" s="269" t="s">
        <v>185</v>
      </c>
      <c r="D12" s="185"/>
      <c r="E12" s="186"/>
      <c r="F12" s="187"/>
      <c r="G12" s="249" t="s">
        <v>101</v>
      </c>
      <c r="H12" s="146">
        <f>COUNTIFS(B:B,"=Important",G:G,"=Function Available")</f>
        <v>0</v>
      </c>
      <c r="I12" s="131">
        <f t="shared" ref="I12:I16" si="3">IF(NOT(ISBLANK($B12)),VLOOKUP($B12,specdata,2,FALSE()),"")</f>
        <v>1</v>
      </c>
      <c r="J12" s="131">
        <f t="shared" ref="J12:J16" si="4">VLOOKUP(G12,AvailabilityData,2,FALSE())</f>
        <v>0</v>
      </c>
      <c r="K12" s="131">
        <f t="shared" ref="K12:K16" si="5">I12*J12</f>
        <v>0</v>
      </c>
    </row>
    <row r="13" spans="1:11" ht="30" customHeight="1" x14ac:dyDescent="0.3">
      <c r="A13" s="259" t="s">
        <v>459</v>
      </c>
      <c r="B13" s="133" t="s">
        <v>43</v>
      </c>
      <c r="C13" s="154" t="s">
        <v>170</v>
      </c>
      <c r="D13" s="138"/>
      <c r="E13" s="168"/>
      <c r="F13" s="137"/>
      <c r="G13" s="240" t="s">
        <v>101</v>
      </c>
      <c r="H13" s="146">
        <f>COUNTIFS(B:B,"=Important",G:G,"=Function Not Available")</f>
        <v>0</v>
      </c>
      <c r="I13" s="131">
        <f t="shared" si="3"/>
        <v>1</v>
      </c>
      <c r="J13" s="131">
        <f t="shared" si="4"/>
        <v>0</v>
      </c>
      <c r="K13" s="131">
        <f t="shared" si="5"/>
        <v>0</v>
      </c>
    </row>
    <row r="14" spans="1:11" ht="30" customHeight="1" x14ac:dyDescent="0.3">
      <c r="A14" s="259" t="s">
        <v>460</v>
      </c>
      <c r="B14" s="647" t="s">
        <v>45</v>
      </c>
      <c r="C14" s="134" t="s">
        <v>255</v>
      </c>
      <c r="D14" s="185"/>
      <c r="E14" s="186"/>
      <c r="F14" s="166"/>
      <c r="G14" s="137" t="s">
        <v>101</v>
      </c>
      <c r="H14" s="146">
        <f>COUNTIFS(B:B,"=Important",G:G,"=Exception")</f>
        <v>0</v>
      </c>
      <c r="I14" s="131">
        <f t="shared" si="3"/>
        <v>0</v>
      </c>
      <c r="J14" s="131">
        <f t="shared" si="4"/>
        <v>0</v>
      </c>
      <c r="K14" s="131">
        <f t="shared" si="5"/>
        <v>0</v>
      </c>
    </row>
    <row r="15" spans="1:11" ht="46.8" x14ac:dyDescent="0.3">
      <c r="A15" s="259" t="s">
        <v>461</v>
      </c>
      <c r="B15" s="647" t="s">
        <v>45</v>
      </c>
      <c r="C15" s="134" t="s">
        <v>462</v>
      </c>
      <c r="D15" s="185"/>
      <c r="E15" s="186"/>
      <c r="F15" s="166"/>
      <c r="G15" s="137" t="s">
        <v>101</v>
      </c>
      <c r="H15" s="147">
        <f>COUNTIFS(B:B,"=Informational",G:G,"=Select from Drop Down List")</f>
        <v>2</v>
      </c>
      <c r="I15" s="131">
        <f t="shared" si="3"/>
        <v>0</v>
      </c>
      <c r="J15" s="131">
        <f t="shared" si="4"/>
        <v>0</v>
      </c>
      <c r="K15" s="131">
        <f t="shared" si="5"/>
        <v>0</v>
      </c>
    </row>
    <row r="16" spans="1:11" ht="30" customHeight="1" x14ac:dyDescent="0.3">
      <c r="A16" s="259" t="s">
        <v>463</v>
      </c>
      <c r="B16" s="260" t="s">
        <v>43</v>
      </c>
      <c r="C16" s="271" t="s">
        <v>207</v>
      </c>
      <c r="D16" s="192"/>
      <c r="E16" s="172"/>
      <c r="F16" s="173"/>
      <c r="G16" s="137" t="s">
        <v>101</v>
      </c>
      <c r="H16" s="147">
        <f>COUNTIFS(B:B,"=Informational",G:G,"=Function Available")</f>
        <v>0</v>
      </c>
      <c r="I16" s="131">
        <f t="shared" si="3"/>
        <v>1</v>
      </c>
      <c r="J16" s="131">
        <f t="shared" si="4"/>
        <v>0</v>
      </c>
      <c r="K16" s="131">
        <f t="shared" si="5"/>
        <v>0</v>
      </c>
    </row>
    <row r="17" spans="1:11" x14ac:dyDescent="0.3">
      <c r="A17" s="316"/>
      <c r="B17" s="126"/>
      <c r="C17" s="243" t="s">
        <v>165</v>
      </c>
      <c r="D17" s="194"/>
      <c r="E17" s="180"/>
      <c r="F17" s="181"/>
      <c r="G17" s="606"/>
      <c r="H17" s="147">
        <f>COUNTIFS(B:B,"=Informational",G:G,"=Function Not Available")</f>
        <v>0</v>
      </c>
    </row>
    <row r="18" spans="1:11" ht="30" customHeight="1" x14ac:dyDescent="0.3">
      <c r="A18" s="259" t="s">
        <v>464</v>
      </c>
      <c r="B18" s="183" t="s">
        <v>43</v>
      </c>
      <c r="C18" s="269" t="s">
        <v>208</v>
      </c>
      <c r="D18" s="185"/>
      <c r="E18" s="186"/>
      <c r="F18" s="191"/>
      <c r="G18" s="187" t="s">
        <v>101</v>
      </c>
      <c r="H18" s="147">
        <f>COUNTIFS(B:B,"=Informational",G:G,"=Exception")</f>
        <v>0</v>
      </c>
      <c r="I18" s="131">
        <f>IF(NOT(ISBLANK($B18)),VLOOKUP($B18,specdata,2,FALSE()),"")</f>
        <v>1</v>
      </c>
      <c r="J18" s="131">
        <f>VLOOKUP(G18,AvailabilityData,2,FALSE())</f>
        <v>0</v>
      </c>
      <c r="K18" s="131">
        <f>I18*J18</f>
        <v>0</v>
      </c>
    </row>
    <row r="19" spans="1:11" ht="30" customHeight="1" x14ac:dyDescent="0.3">
      <c r="A19" s="259" t="s">
        <v>465</v>
      </c>
      <c r="B19" s="183" t="s">
        <v>43</v>
      </c>
      <c r="C19" s="134" t="s">
        <v>209</v>
      </c>
      <c r="D19" s="185"/>
      <c r="E19" s="186"/>
      <c r="F19" s="166"/>
      <c r="G19" s="137" t="s">
        <v>101</v>
      </c>
      <c r="I19" s="131">
        <f>IF(NOT(ISBLANK($B19)),VLOOKUP($B19,specdata,2,FALSE()),"")</f>
        <v>1</v>
      </c>
      <c r="J19" s="131">
        <f>VLOOKUP(G19,AvailabilityData,2,FALSE())</f>
        <v>0</v>
      </c>
      <c r="K19" s="131">
        <f>I19*J19</f>
        <v>0</v>
      </c>
    </row>
    <row r="20" spans="1:11" ht="30" customHeight="1" x14ac:dyDescent="0.3">
      <c r="A20" s="259" t="s">
        <v>466</v>
      </c>
      <c r="B20" s="183" t="s">
        <v>43</v>
      </c>
      <c r="C20" s="271" t="s">
        <v>210</v>
      </c>
      <c r="D20" s="185"/>
      <c r="E20" s="186"/>
      <c r="F20" s="166"/>
      <c r="G20" s="137" t="s">
        <v>101</v>
      </c>
      <c r="I20" s="131">
        <f>IF(NOT(ISBLANK($B20)),VLOOKUP($B20,specdata,2,FALSE()),"")</f>
        <v>1</v>
      </c>
      <c r="J20" s="131">
        <f>VLOOKUP(G20,AvailabilityData,2,FALSE())</f>
        <v>0</v>
      </c>
      <c r="K20" s="131">
        <f>I20*J20</f>
        <v>0</v>
      </c>
    </row>
    <row r="21" spans="1:11" ht="30" customHeight="1" x14ac:dyDescent="0.3">
      <c r="A21" s="259" t="s">
        <v>467</v>
      </c>
      <c r="B21" s="169" t="s">
        <v>43</v>
      </c>
      <c r="C21" s="271" t="s">
        <v>211</v>
      </c>
      <c r="D21" s="353"/>
      <c r="E21" s="172"/>
      <c r="F21" s="173"/>
      <c r="G21" s="137" t="s">
        <v>101</v>
      </c>
      <c r="I21" s="131">
        <f>IF(NOT(ISBLANK($B21)),VLOOKUP($B21,specdata,2,FALSE()),"")</f>
        <v>1</v>
      </c>
      <c r="J21" s="131">
        <f>VLOOKUP(G21,AvailabilityData,2,FALSE())</f>
        <v>0</v>
      </c>
      <c r="K21" s="131">
        <f>I21*J21</f>
        <v>0</v>
      </c>
    </row>
    <row r="22" spans="1:11" x14ac:dyDescent="0.3">
      <c r="A22" s="316"/>
      <c r="B22" s="126"/>
      <c r="C22" s="243" t="s">
        <v>174</v>
      </c>
      <c r="D22" s="354"/>
      <c r="E22" s="180"/>
      <c r="F22" s="181"/>
      <c r="G22" s="606"/>
    </row>
    <row r="23" spans="1:11" ht="46.8" x14ac:dyDescent="0.3">
      <c r="A23" s="259" t="s">
        <v>468</v>
      </c>
      <c r="B23" s="183" t="s">
        <v>43</v>
      </c>
      <c r="C23" s="269" t="s">
        <v>469</v>
      </c>
      <c r="D23" s="185"/>
      <c r="E23" s="186"/>
      <c r="F23" s="191"/>
      <c r="G23" s="187" t="s">
        <v>101</v>
      </c>
      <c r="I23" s="131">
        <f>IF(NOT(ISBLANK($B23)),VLOOKUP($B23,specdata,2,FALSE()),"")</f>
        <v>1</v>
      </c>
      <c r="J23" s="131">
        <f>VLOOKUP(G23,AvailabilityData,2,FALSE())</f>
        <v>0</v>
      </c>
      <c r="K23" s="131">
        <f>I23*J23</f>
        <v>0</v>
      </c>
    </row>
    <row r="24" spans="1:11" ht="31.2" x14ac:dyDescent="0.3">
      <c r="A24" s="259" t="s">
        <v>470</v>
      </c>
      <c r="B24" s="133" t="s">
        <v>43</v>
      </c>
      <c r="C24" s="134" t="s">
        <v>471</v>
      </c>
      <c r="D24" s="153"/>
      <c r="E24" s="186"/>
      <c r="F24" s="166"/>
      <c r="G24" s="137" t="s">
        <v>101</v>
      </c>
      <c r="I24" s="131">
        <f>IF(NOT(ISBLANK($B24)),VLOOKUP($B24,specdata,2,FALSE()),"")</f>
        <v>1</v>
      </c>
      <c r="J24" s="131">
        <f>VLOOKUP(G24,AvailabilityData,2,FALSE())</f>
        <v>0</v>
      </c>
      <c r="K24" s="131">
        <f>I24*J24</f>
        <v>0</v>
      </c>
    </row>
    <row r="25" spans="1:11" ht="46.8" x14ac:dyDescent="0.3">
      <c r="A25" s="259" t="s">
        <v>472</v>
      </c>
      <c r="B25" s="183" t="s">
        <v>43</v>
      </c>
      <c r="C25" s="269" t="s">
        <v>193</v>
      </c>
      <c r="D25" s="270"/>
      <c r="E25" s="186"/>
      <c r="F25" s="166"/>
      <c r="G25" s="137" t="s">
        <v>101</v>
      </c>
      <c r="I25" s="131">
        <f>IF(NOT(ISBLANK($B25)),VLOOKUP($B25,specdata,2,FALSE()),"")</f>
        <v>1</v>
      </c>
      <c r="J25" s="131">
        <f>VLOOKUP(G25,AvailabilityData,2,FALSE())</f>
        <v>0</v>
      </c>
      <c r="K25" s="131">
        <f>I25*J25</f>
        <v>0</v>
      </c>
    </row>
    <row r="26" spans="1:11" ht="31.2" x14ac:dyDescent="0.3">
      <c r="A26" s="259" t="s">
        <v>473</v>
      </c>
      <c r="B26" s="183" t="s">
        <v>43</v>
      </c>
      <c r="C26" s="134" t="s">
        <v>474</v>
      </c>
      <c r="D26" s="270"/>
      <c r="E26" s="186"/>
      <c r="F26" s="166"/>
      <c r="G26" s="137" t="s">
        <v>101</v>
      </c>
      <c r="I26" s="131">
        <f>IF(NOT(ISBLANK($B26)),VLOOKUP($B26,specdata,2,FALSE()),"")</f>
        <v>1</v>
      </c>
      <c r="J26" s="131">
        <f>VLOOKUP(G26,AvailabilityData,2,FALSE())</f>
        <v>0</v>
      </c>
      <c r="K26" s="131">
        <f>I26*J26</f>
        <v>0</v>
      </c>
    </row>
    <row r="27" spans="1:11" ht="30" customHeight="1" x14ac:dyDescent="0.3">
      <c r="A27" s="259" t="s">
        <v>475</v>
      </c>
      <c r="B27" s="183" t="s">
        <v>43</v>
      </c>
      <c r="C27" s="134" t="s">
        <v>476</v>
      </c>
      <c r="D27" s="270"/>
      <c r="E27" s="186"/>
      <c r="F27" s="166"/>
      <c r="G27" s="137" t="s">
        <v>101</v>
      </c>
      <c r="I27" s="131">
        <f>IF(NOT(ISBLANK($B27)),VLOOKUP($B27,specdata,2,FALSE()),"")</f>
        <v>1</v>
      </c>
      <c r="J27" s="131">
        <f>VLOOKUP(G27,AvailabilityData,2,FALSE())</f>
        <v>0</v>
      </c>
      <c r="K27" s="131">
        <f>I27*J27</f>
        <v>0</v>
      </c>
    </row>
    <row r="28" spans="1:11" ht="30" customHeight="1" x14ac:dyDescent="0.3">
      <c r="H28" s="115"/>
    </row>
    <row r="29" spans="1:11" ht="30" customHeight="1" x14ac:dyDescent="0.3">
      <c r="D29" s="355"/>
      <c r="H29" s="115"/>
    </row>
    <row r="30" spans="1:11" ht="30" customHeight="1" x14ac:dyDescent="0.3">
      <c r="D30" s="355"/>
      <c r="H30" s="115"/>
    </row>
    <row r="31" spans="1:11" ht="30" customHeight="1" x14ac:dyDescent="0.3">
      <c r="D31" s="262"/>
      <c r="H31" s="115"/>
    </row>
    <row r="32" spans="1:11" ht="30" customHeight="1" x14ac:dyDescent="0.3">
      <c r="D32" s="262"/>
      <c r="H32" s="115"/>
    </row>
    <row r="33" spans="4:8" ht="30" customHeight="1" x14ac:dyDescent="0.3">
      <c r="D33" s="262"/>
      <c r="H33" s="115"/>
    </row>
    <row r="34" spans="4:8" ht="30" customHeight="1" x14ac:dyDescent="0.3">
      <c r="D34" s="262"/>
      <c r="H34" s="115"/>
    </row>
    <row r="35" spans="4:8" ht="30" customHeight="1" x14ac:dyDescent="0.3">
      <c r="D35" s="355"/>
      <c r="H35" s="115"/>
    </row>
    <row r="36" spans="4:8" ht="30" customHeight="1" x14ac:dyDescent="0.3">
      <c r="D36" s="355"/>
      <c r="H36" s="115"/>
    </row>
    <row r="37" spans="4:8" ht="30" customHeight="1" x14ac:dyDescent="0.3">
      <c r="D37" s="355"/>
      <c r="H37" s="115"/>
    </row>
    <row r="38" spans="4:8" ht="30" customHeight="1" x14ac:dyDescent="0.3">
      <c r="D38" s="355"/>
      <c r="H38" s="115"/>
    </row>
    <row r="39" spans="4:8" ht="30" customHeight="1" x14ac:dyDescent="0.3">
      <c r="D39" s="355"/>
      <c r="H39" s="115"/>
    </row>
    <row r="40" spans="4:8" ht="30" customHeight="1" x14ac:dyDescent="0.3">
      <c r="D40" s="355"/>
      <c r="H40" s="115"/>
    </row>
    <row r="41" spans="4:8" ht="30" customHeight="1" x14ac:dyDescent="0.3">
      <c r="D41" s="355"/>
      <c r="H41" s="115"/>
    </row>
    <row r="42" spans="4:8" ht="30" customHeight="1" x14ac:dyDescent="0.3">
      <c r="D42" s="355"/>
      <c r="H42" s="115"/>
    </row>
    <row r="43" spans="4:8" ht="30" customHeight="1" x14ac:dyDescent="0.3">
      <c r="H43" s="115"/>
    </row>
    <row r="44" spans="4:8" ht="30" customHeight="1" x14ac:dyDescent="0.3">
      <c r="H44" s="115"/>
    </row>
    <row r="45" spans="4:8" ht="30" customHeight="1" x14ac:dyDescent="0.3"/>
    <row r="46" spans="4:8" ht="30" customHeight="1" x14ac:dyDescent="0.3"/>
    <row r="47" spans="4:8" ht="30" customHeight="1" x14ac:dyDescent="0.3"/>
    <row r="48" spans="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45"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59.25" customHeight="1" x14ac:dyDescent="0.3"/>
  </sheetData>
  <sheetProtection algorithmName="SHA-512" hashValue="VXne8Uj7dt4oXVsAJ8+6TsUtuCiER2wfQSkKggckpA3eZcVMr/bsQmVn6qBk228oZaN+V7NIF6zEoC/phj9o5g==" saltValue="J5c5R4w8WlGstdGNYLcldg==" spinCount="100000" sheet="1" objects="1" scenarios="1"/>
  <conditionalFormatting sqref="B1:B1048576">
    <cfRule type="cellIs" dxfId="245" priority="4" operator="equal">
      <formula>"Not Needed"</formula>
    </cfRule>
    <cfRule type="cellIs" dxfId="244" priority="5" operator="equal">
      <formula>"Highly Advantageous"</formula>
    </cfRule>
    <cfRule type="cellIs" dxfId="243" priority="6" operator="equal">
      <formula>"Extremely Advantageous"</formula>
    </cfRule>
  </conditionalFormatting>
  <conditionalFormatting sqref="G1:G1048576">
    <cfRule type="cellIs" dxfId="242" priority="2" operator="equal">
      <formula>"Exception"</formula>
    </cfRule>
  </conditionalFormatting>
  <conditionalFormatting sqref="G3:G27">
    <cfRule type="cellIs" dxfId="241" priority="3"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27" xr:uid="{00000000-0002-0000-1200-000000000000}">
      <formula1>SpecType</formula1>
      <formula2>0</formula2>
    </dataValidation>
    <dataValidation type="list" allowBlank="1" showInputMessage="1" showErrorMessage="1" sqref="G3:G10 G12:G16 G18:G21 G23:G27" xr:uid="{00000000-0002-0000-12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January, 2024 ©&amp;R&amp;"Arial,Bold"&amp;10&amp;P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29"/>
  <sheetViews>
    <sheetView zoomScaleNormal="100" zoomScalePageLayoutView="80" workbookViewId="0"/>
  </sheetViews>
  <sheetFormatPr defaultColWidth="9" defaultRowHeight="15.6" x14ac:dyDescent="0.3"/>
  <cols>
    <col min="1" max="1" width="12.59765625" style="113" customWidth="1"/>
    <col min="2" max="2" width="14.59765625" style="113" customWidth="1"/>
    <col min="3" max="3" width="65.59765625" style="261" customWidth="1"/>
    <col min="4" max="4" width="65.59765625" style="115" customWidth="1"/>
    <col min="5" max="5" width="10.59765625" style="115" hidden="1" customWidth="1"/>
    <col min="6" max="6" width="6.59765625" style="115" hidden="1" customWidth="1"/>
    <col min="7" max="7" width="30.59765625" style="115" customWidth="1"/>
    <col min="8" max="11" width="8.59765625" style="116" hidden="1" customWidth="1"/>
    <col min="12" max="12" width="9" style="115" hidden="1"/>
    <col min="13" max="16384" width="9" style="115"/>
  </cols>
  <sheetData>
    <row r="1" spans="1:16" s="124" customFormat="1" ht="105" customHeight="1" x14ac:dyDescent="0.25">
      <c r="A1" s="119" t="s">
        <v>102</v>
      </c>
      <c r="B1" s="346"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c r="L1" s="123" t="s">
        <v>477</v>
      </c>
    </row>
    <row r="2" spans="1:16" x14ac:dyDescent="0.3">
      <c r="A2" s="125" t="s">
        <v>478</v>
      </c>
      <c r="B2" s="161"/>
      <c r="C2" s="347"/>
      <c r="D2" s="128"/>
      <c r="E2" s="130"/>
      <c r="F2" s="130"/>
      <c r="G2" s="130"/>
      <c r="H2" s="131">
        <f>COUNTA(B3:B29)</f>
        <v>24</v>
      </c>
      <c r="K2" s="116">
        <f>SUM(K3:K29)</f>
        <v>0</v>
      </c>
    </row>
    <row r="3" spans="1:16" ht="30" customHeight="1" x14ac:dyDescent="0.3">
      <c r="A3" s="259" t="str">
        <f>IF(L3=1,"CrashLogic-"&amp;TEXT(COUNTIF($L$3:L3, "1"), "0"), "")</f>
        <v>CrashLogic-1</v>
      </c>
      <c r="B3" s="183" t="s">
        <v>43</v>
      </c>
      <c r="C3" s="164" t="s">
        <v>479</v>
      </c>
      <c r="D3" s="185"/>
      <c r="E3" s="186"/>
      <c r="F3" s="166"/>
      <c r="G3" s="137" t="s">
        <v>101</v>
      </c>
      <c r="H3" s="131">
        <f>COUNTIF(G:G,"=Select from Drop Down List")</f>
        <v>24</v>
      </c>
      <c r="I3" s="116">
        <f t="shared" ref="I3:I11" si="0">IF(NOT(ISBLANK($B3)),VLOOKUP($B3,specdata,2,FALSE()),"")</f>
        <v>1</v>
      </c>
      <c r="J3" s="116">
        <f t="shared" ref="J3:J11" si="1">VLOOKUP(G3,AvailabilityData,2,FALSE())</f>
        <v>0</v>
      </c>
      <c r="K3" s="116">
        <f t="shared" ref="K3:K11" si="2">I3*J3</f>
        <v>0</v>
      </c>
      <c r="L3" s="115">
        <v>1</v>
      </c>
      <c r="N3" s="858" t="s">
        <v>107</v>
      </c>
      <c r="O3" s="858"/>
      <c r="P3" s="858"/>
    </row>
    <row r="4" spans="1:16" ht="46.8" x14ac:dyDescent="0.3">
      <c r="A4" s="259" t="str">
        <f>IF(L4=1,"CrashLogic-"&amp;TEXT(COUNTIF($L$3:L4, "1"), "0"), "")</f>
        <v>CrashLogic-2</v>
      </c>
      <c r="B4" s="183" t="s">
        <v>43</v>
      </c>
      <c r="C4" s="164" t="s">
        <v>480</v>
      </c>
      <c r="D4" s="185"/>
      <c r="E4" s="186"/>
      <c r="F4" s="166"/>
      <c r="G4" s="137" t="s">
        <v>101</v>
      </c>
      <c r="H4" s="131">
        <f>COUNTIF(G:G,"=Function Available")</f>
        <v>0</v>
      </c>
      <c r="I4" s="116">
        <f t="shared" si="0"/>
        <v>1</v>
      </c>
      <c r="J4" s="116">
        <f t="shared" si="1"/>
        <v>0</v>
      </c>
      <c r="K4" s="116">
        <f t="shared" si="2"/>
        <v>0</v>
      </c>
      <c r="L4" s="115">
        <v>1</v>
      </c>
      <c r="N4" s="858"/>
      <c r="O4" s="858"/>
      <c r="P4" s="858"/>
    </row>
    <row r="5" spans="1:16" ht="30" customHeight="1" x14ac:dyDescent="0.3">
      <c r="A5" s="259" t="str">
        <f>IF(L5=1,"CrashLogic-"&amp;TEXT(COUNTIF($L$3:L5, "1"), "0"), "")</f>
        <v>CrashLogic-3</v>
      </c>
      <c r="B5" s="183" t="s">
        <v>43</v>
      </c>
      <c r="C5" s="164" t="s">
        <v>481</v>
      </c>
      <c r="D5" s="185"/>
      <c r="E5" s="186"/>
      <c r="F5" s="166"/>
      <c r="G5" s="137" t="s">
        <v>101</v>
      </c>
      <c r="H5" s="131">
        <f>COUNTIF(F:G,"=Function Not Available")</f>
        <v>0</v>
      </c>
      <c r="I5" s="116">
        <f t="shared" si="0"/>
        <v>1</v>
      </c>
      <c r="J5" s="116">
        <f t="shared" si="1"/>
        <v>0</v>
      </c>
      <c r="K5" s="116">
        <f t="shared" si="2"/>
        <v>0</v>
      </c>
      <c r="L5" s="115">
        <v>1</v>
      </c>
      <c r="N5" s="858"/>
      <c r="O5" s="858"/>
      <c r="P5" s="858"/>
    </row>
    <row r="6" spans="1:16" ht="30" customHeight="1" x14ac:dyDescent="0.3">
      <c r="A6" s="259" t="str">
        <f>IF(L6=1,"CrashLogic-"&amp;TEXT(COUNTIF($L$3:L6, "1"), "0"), "")</f>
        <v>CrashLogic-4</v>
      </c>
      <c r="B6" s="183" t="s">
        <v>43</v>
      </c>
      <c r="C6" s="164" t="s">
        <v>405</v>
      </c>
      <c r="D6" s="138"/>
      <c r="E6" s="186"/>
      <c r="F6" s="166"/>
      <c r="G6" s="137" t="s">
        <v>101</v>
      </c>
      <c r="H6" s="131">
        <f>COUNTIF(G:G,"=Exception")</f>
        <v>0</v>
      </c>
      <c r="I6" s="116">
        <f t="shared" si="0"/>
        <v>1</v>
      </c>
      <c r="J6" s="116">
        <f t="shared" si="1"/>
        <v>0</v>
      </c>
      <c r="K6" s="116">
        <f t="shared" si="2"/>
        <v>0</v>
      </c>
      <c r="L6" s="115">
        <v>1</v>
      </c>
      <c r="N6" s="858"/>
      <c r="O6" s="858"/>
      <c r="P6" s="858"/>
    </row>
    <row r="7" spans="1:16" ht="30" customHeight="1" x14ac:dyDescent="0.3">
      <c r="A7" s="259" t="str">
        <f>IF(L7=1,"CrashLogic-"&amp;TEXT(COUNTIF($L$3:L7, "1"), "0"), "")</f>
        <v>CrashLogic-5</v>
      </c>
      <c r="B7" s="260" t="s">
        <v>43</v>
      </c>
      <c r="C7" s="164" t="s">
        <v>482</v>
      </c>
      <c r="D7" s="153"/>
      <c r="E7" s="172"/>
      <c r="F7" s="173"/>
      <c r="G7" s="137" t="s">
        <v>101</v>
      </c>
      <c r="H7" s="140">
        <f>COUNTIFS(B:B,"=Critical",G:G,"=Select from Drop Down List")</f>
        <v>0</v>
      </c>
      <c r="I7" s="116">
        <f t="shared" si="0"/>
        <v>1</v>
      </c>
      <c r="J7" s="116">
        <f t="shared" si="1"/>
        <v>0</v>
      </c>
      <c r="K7" s="116">
        <f t="shared" si="2"/>
        <v>0</v>
      </c>
      <c r="L7" s="115">
        <v>1</v>
      </c>
    </row>
    <row r="8" spans="1:16" ht="30" customHeight="1" x14ac:dyDescent="0.3">
      <c r="A8" s="259" t="str">
        <f>IF(L8=1,"CrashLogic-"&amp;TEXT(COUNTIF($L$3:L8, "1"), "0"), "")</f>
        <v>CrashLogic-6</v>
      </c>
      <c r="B8" s="133" t="s">
        <v>43</v>
      </c>
      <c r="C8" s="164" t="s">
        <v>483</v>
      </c>
      <c r="D8" s="153"/>
      <c r="E8" s="168"/>
      <c r="F8" s="137"/>
      <c r="G8" s="240" t="s">
        <v>101</v>
      </c>
      <c r="H8" s="140">
        <f>COUNTIFS(B:B,"=Critical",G:G,"=Function Available")</f>
        <v>0</v>
      </c>
      <c r="I8" s="116">
        <f t="shared" si="0"/>
        <v>1</v>
      </c>
      <c r="J8" s="116">
        <f t="shared" si="1"/>
        <v>0</v>
      </c>
      <c r="K8" s="116">
        <f t="shared" si="2"/>
        <v>0</v>
      </c>
      <c r="L8" s="115">
        <v>1</v>
      </c>
    </row>
    <row r="9" spans="1:16" ht="30" customHeight="1" x14ac:dyDescent="0.3">
      <c r="A9" s="259" t="str">
        <f>IF(L9=1,"CrashLogic-"&amp;TEXT(COUNTIF($L$3:L9, "1"), "0"), "")</f>
        <v>CrashLogic-7</v>
      </c>
      <c r="B9" s="133" t="s">
        <v>43</v>
      </c>
      <c r="C9" s="164" t="s">
        <v>484</v>
      </c>
      <c r="D9" s="153"/>
      <c r="E9" s="168"/>
      <c r="F9" s="137"/>
      <c r="G9" s="240" t="s">
        <v>101</v>
      </c>
      <c r="H9" s="140">
        <f>COUNTIFS(B:B,"=Critical",G:G,"=Function Not Available")</f>
        <v>0</v>
      </c>
      <c r="I9" s="116">
        <f t="shared" si="0"/>
        <v>1</v>
      </c>
      <c r="J9" s="116">
        <f t="shared" si="1"/>
        <v>0</v>
      </c>
      <c r="K9" s="116">
        <f t="shared" si="2"/>
        <v>0</v>
      </c>
      <c r="L9" s="115">
        <v>1</v>
      </c>
    </row>
    <row r="10" spans="1:16" ht="30" customHeight="1" x14ac:dyDescent="0.3">
      <c r="A10" s="259" t="str">
        <f>IF(L10=1,"CrashLogic-"&amp;TEXT(COUNTIF($L$3:L10, "1"), "0"), "")</f>
        <v>CrashLogic-8</v>
      </c>
      <c r="B10" s="133" t="s">
        <v>43</v>
      </c>
      <c r="C10" s="164" t="s">
        <v>409</v>
      </c>
      <c r="E10" s="168"/>
      <c r="F10" s="137"/>
      <c r="G10" s="240" t="s">
        <v>101</v>
      </c>
      <c r="H10" s="140">
        <f>COUNTIFS(B:B,"=Critical",G:G,"=Exception")</f>
        <v>0</v>
      </c>
      <c r="I10" s="116">
        <f t="shared" si="0"/>
        <v>1</v>
      </c>
      <c r="J10" s="116">
        <f t="shared" si="1"/>
        <v>0</v>
      </c>
      <c r="K10" s="116">
        <f t="shared" si="2"/>
        <v>0</v>
      </c>
      <c r="L10" s="115">
        <v>1</v>
      </c>
    </row>
    <row r="11" spans="1:16" ht="46.8" x14ac:dyDescent="0.3">
      <c r="A11" s="259" t="str">
        <f>IF(L11=1,"CrashLogic-"&amp;TEXT(COUNTIF($L$3:L11, "1"), "0"), "")</f>
        <v>CrashLogic-9</v>
      </c>
      <c r="B11" s="169" t="s">
        <v>43</v>
      </c>
      <c r="C11" s="170" t="s">
        <v>410</v>
      </c>
      <c r="D11" s="323"/>
      <c r="E11" s="175"/>
      <c r="F11" s="176"/>
      <c r="G11" s="242" t="s">
        <v>101</v>
      </c>
      <c r="H11" s="146">
        <f>COUNTIFS(B:B,"=Important",G:G,"=Select from Drop Down List")</f>
        <v>24</v>
      </c>
      <c r="I11" s="116">
        <f t="shared" si="0"/>
        <v>1</v>
      </c>
      <c r="J11" s="116">
        <f t="shared" si="1"/>
        <v>0</v>
      </c>
      <c r="K11" s="116">
        <f t="shared" si="2"/>
        <v>0</v>
      </c>
      <c r="L11" s="115">
        <v>1</v>
      </c>
    </row>
    <row r="12" spans="1:16" x14ac:dyDescent="0.3">
      <c r="A12" s="316"/>
      <c r="B12" s="126"/>
      <c r="C12" s="193" t="s">
        <v>168</v>
      </c>
      <c r="D12" s="194"/>
      <c r="E12" s="180"/>
      <c r="F12" s="181"/>
      <c r="G12" s="182"/>
      <c r="H12" s="146">
        <f>COUNTIFS(B:B,"=Important",G:G,"=Function Available")</f>
        <v>0</v>
      </c>
    </row>
    <row r="13" spans="1:16" ht="45" customHeight="1" x14ac:dyDescent="0.3">
      <c r="A13" s="259" t="str">
        <f>IF(L13=1,"CrashLogic-"&amp;TEXT(COUNTIF($L$3:L13, "1"), "0"), "")</f>
        <v>CrashLogic-10</v>
      </c>
      <c r="B13" s="183" t="s">
        <v>43</v>
      </c>
      <c r="C13" s="278" t="s">
        <v>185</v>
      </c>
      <c r="D13" s="185"/>
      <c r="E13" s="186"/>
      <c r="F13" s="187"/>
      <c r="G13" s="249" t="s">
        <v>101</v>
      </c>
      <c r="H13" s="146">
        <f>COUNTIFS(B:B,"=Important",G:G,"=Function Not Available")</f>
        <v>0</v>
      </c>
      <c r="I13" s="116">
        <f t="shared" ref="I13:I19" si="3">IF(NOT(ISBLANK($B13)),VLOOKUP($B13,specdata,2,FALSE()),"")</f>
        <v>1</v>
      </c>
      <c r="J13" s="116">
        <f t="shared" ref="J13:J19" si="4">VLOOKUP(G13,AvailabilityData,2,FALSE())</f>
        <v>0</v>
      </c>
      <c r="K13" s="116">
        <f t="shared" ref="K13:K19" si="5">I13*J13</f>
        <v>0</v>
      </c>
      <c r="L13" s="115">
        <v>1</v>
      </c>
    </row>
    <row r="14" spans="1:16" ht="30" customHeight="1" x14ac:dyDescent="0.3">
      <c r="A14" s="259" t="str">
        <f>IF(L14=1,"CrashLogic-"&amp;TEXT(COUNTIF($L$3:L14, "1"), "0"), "")</f>
        <v>CrashLogic-11</v>
      </c>
      <c r="B14" s="183" t="s">
        <v>43</v>
      </c>
      <c r="C14" s="154" t="s">
        <v>170</v>
      </c>
      <c r="D14" s="185"/>
      <c r="E14" s="186"/>
      <c r="F14" s="191"/>
      <c r="G14" s="137" t="s">
        <v>101</v>
      </c>
      <c r="H14" s="146">
        <f>COUNTIFS(B:B,"=Important",G:G,"=Exception")</f>
        <v>0</v>
      </c>
      <c r="I14" s="116">
        <f t="shared" si="3"/>
        <v>1</v>
      </c>
      <c r="J14" s="116">
        <f t="shared" si="4"/>
        <v>0</v>
      </c>
      <c r="K14" s="116">
        <f t="shared" si="5"/>
        <v>0</v>
      </c>
      <c r="L14" s="115">
        <v>1</v>
      </c>
    </row>
    <row r="15" spans="1:16" ht="30" customHeight="1" x14ac:dyDescent="0.3">
      <c r="A15" s="259" t="str">
        <f>IF(L15=1,"CrashLogic-"&amp;TEXT(COUNTIF($L$3:L15, "1"), "0"), "")</f>
        <v>CrashLogic-12</v>
      </c>
      <c r="B15" s="183" t="s">
        <v>43</v>
      </c>
      <c r="C15" s="154" t="s">
        <v>171</v>
      </c>
      <c r="D15" s="185"/>
      <c r="E15" s="186"/>
      <c r="F15" s="166"/>
      <c r="G15" s="137" t="s">
        <v>101</v>
      </c>
      <c r="H15" s="147">
        <f>COUNTIFS(B:B,"=Informational",G:G,"=Select from Drop Down List")</f>
        <v>0</v>
      </c>
      <c r="I15" s="116">
        <f t="shared" si="3"/>
        <v>1</v>
      </c>
      <c r="J15" s="116">
        <f t="shared" si="4"/>
        <v>0</v>
      </c>
      <c r="K15" s="116">
        <f t="shared" si="5"/>
        <v>0</v>
      </c>
      <c r="L15" s="115">
        <v>1</v>
      </c>
    </row>
    <row r="16" spans="1:16" ht="30" customHeight="1" x14ac:dyDescent="0.3">
      <c r="A16" s="259" t="str">
        <f>IF(L16=1,"CrashLogic-"&amp;TEXT(COUNTIF($L$3:L16, "1"), "0"), "")</f>
        <v>CrashLogic-13</v>
      </c>
      <c r="B16" s="183" t="s">
        <v>43</v>
      </c>
      <c r="C16" s="154" t="s">
        <v>172</v>
      </c>
      <c r="D16" s="270"/>
      <c r="E16" s="186"/>
      <c r="F16" s="166"/>
      <c r="G16" s="137" t="s">
        <v>101</v>
      </c>
      <c r="H16" s="147">
        <f>COUNTIFS(B:B,"=Informational",G:G,"=Function Available")</f>
        <v>0</v>
      </c>
      <c r="I16" s="116">
        <f t="shared" si="3"/>
        <v>1</v>
      </c>
      <c r="J16" s="116">
        <f t="shared" si="4"/>
        <v>0</v>
      </c>
      <c r="K16" s="116">
        <f t="shared" si="5"/>
        <v>0</v>
      </c>
      <c r="L16" s="115">
        <v>1</v>
      </c>
    </row>
    <row r="17" spans="1:12" ht="30" customHeight="1" x14ac:dyDescent="0.3">
      <c r="A17" s="259" t="str">
        <f>IF(L17=1,"CrashLogic-"&amp;TEXT(COUNTIF($L$3:L17, "1"), "0"), "")</f>
        <v>CrashLogic-14</v>
      </c>
      <c r="B17" s="183" t="s">
        <v>43</v>
      </c>
      <c r="C17" s="164" t="s">
        <v>255</v>
      </c>
      <c r="D17" s="270"/>
      <c r="E17" s="186"/>
      <c r="F17" s="166"/>
      <c r="G17" s="137" t="s">
        <v>101</v>
      </c>
      <c r="H17" s="147">
        <f>COUNTIFS(B:B,"=Informational",G:G,"=Function Not Available")</f>
        <v>0</v>
      </c>
      <c r="I17" s="116">
        <f t="shared" si="3"/>
        <v>1</v>
      </c>
      <c r="J17" s="116">
        <f t="shared" si="4"/>
        <v>0</v>
      </c>
      <c r="K17" s="116">
        <f t="shared" si="5"/>
        <v>0</v>
      </c>
      <c r="L17" s="115">
        <v>1</v>
      </c>
    </row>
    <row r="18" spans="1:12" ht="46.8" x14ac:dyDescent="0.3">
      <c r="A18" s="259" t="str">
        <f>IF(L18=1,"CrashLogic-"&amp;TEXT(COUNTIF($L$3:L18, "1"), "0"), "")</f>
        <v>CrashLogic-15</v>
      </c>
      <c r="B18" s="183" t="s">
        <v>43</v>
      </c>
      <c r="C18" s="164" t="s">
        <v>411</v>
      </c>
      <c r="D18" s="270"/>
      <c r="E18" s="186"/>
      <c r="F18" s="166"/>
      <c r="G18" s="137" t="s">
        <v>101</v>
      </c>
      <c r="H18" s="147">
        <f>COUNTIFS(B:B,"=Informational",G:G,"=Exception")</f>
        <v>0</v>
      </c>
      <c r="I18" s="116">
        <f t="shared" si="3"/>
        <v>1</v>
      </c>
      <c r="J18" s="116">
        <f t="shared" si="4"/>
        <v>0</v>
      </c>
      <c r="K18" s="116">
        <f t="shared" si="5"/>
        <v>0</v>
      </c>
      <c r="L18" s="115">
        <v>1</v>
      </c>
    </row>
    <row r="19" spans="1:12" ht="30" customHeight="1" x14ac:dyDescent="0.3">
      <c r="A19" s="259" t="str">
        <f>IF(L19=1,"CrashLogic-"&amp;TEXT(COUNTIF($L$3:L19, "1"), "0"), "")</f>
        <v>CrashLogic-16</v>
      </c>
      <c r="B19" s="260" t="s">
        <v>43</v>
      </c>
      <c r="C19" s="170" t="s">
        <v>207</v>
      </c>
      <c r="D19" s="171"/>
      <c r="E19" s="172"/>
      <c r="F19" s="173"/>
      <c r="G19" s="176" t="s">
        <v>101</v>
      </c>
      <c r="H19" s="348"/>
      <c r="I19" s="116">
        <f t="shared" si="3"/>
        <v>1</v>
      </c>
      <c r="J19" s="116">
        <f t="shared" si="4"/>
        <v>0</v>
      </c>
      <c r="K19" s="116">
        <f t="shared" si="5"/>
        <v>0</v>
      </c>
      <c r="L19" s="115">
        <v>1</v>
      </c>
    </row>
    <row r="20" spans="1:12" x14ac:dyDescent="0.3">
      <c r="A20" s="316"/>
      <c r="B20" s="126"/>
      <c r="C20" s="193" t="s">
        <v>165</v>
      </c>
      <c r="D20" s="179"/>
      <c r="E20" s="180"/>
      <c r="F20" s="181"/>
      <c r="G20" s="182"/>
      <c r="H20" s="348"/>
    </row>
    <row r="21" spans="1:12" ht="30" customHeight="1" x14ac:dyDescent="0.3">
      <c r="A21" s="259" t="str">
        <f>IF(L21=1,"CrashLogic-"&amp;TEXT(COUNTIF($L$3:L21, "1"), "0"), "")</f>
        <v>CrashLogic-17</v>
      </c>
      <c r="B21" s="183" t="s">
        <v>43</v>
      </c>
      <c r="C21" s="184" t="s">
        <v>208</v>
      </c>
      <c r="D21" s="270"/>
      <c r="E21" s="186"/>
      <c r="F21" s="191"/>
      <c r="G21" s="187" t="s">
        <v>101</v>
      </c>
      <c r="H21" s="348"/>
      <c r="I21" s="116">
        <f>IF(NOT(ISBLANK($B21)),VLOOKUP($B21,specdata,2,FALSE()),"")</f>
        <v>1</v>
      </c>
      <c r="J21" s="116">
        <f>VLOOKUP(G21,AvailabilityData,2,FALSE())</f>
        <v>0</v>
      </c>
      <c r="K21" s="116">
        <f>I21*J21</f>
        <v>0</v>
      </c>
      <c r="L21" s="115">
        <v>1</v>
      </c>
    </row>
    <row r="22" spans="1:12" ht="30" customHeight="1" x14ac:dyDescent="0.3">
      <c r="A22" s="259" t="str">
        <f>IF(L22=1,"CrashLogic-"&amp;TEXT(COUNTIF($L$3:L22, "1"), "0"), "")</f>
        <v>CrashLogic-18</v>
      </c>
      <c r="B22" s="183" t="s">
        <v>43</v>
      </c>
      <c r="C22" s="164" t="s">
        <v>257</v>
      </c>
      <c r="D22" s="270"/>
      <c r="E22" s="186"/>
      <c r="F22" s="166"/>
      <c r="G22" s="137" t="s">
        <v>101</v>
      </c>
      <c r="H22" s="348"/>
      <c r="I22" s="116">
        <f>IF(NOT(ISBLANK($B22)),VLOOKUP($B22,specdata,2,FALSE()),"")</f>
        <v>1</v>
      </c>
      <c r="J22" s="116">
        <f>VLOOKUP(G22,AvailabilityData,2,FALSE())</f>
        <v>0</v>
      </c>
      <c r="K22" s="116">
        <f>I22*J22</f>
        <v>0</v>
      </c>
      <c r="L22" s="115">
        <v>1</v>
      </c>
    </row>
    <row r="23" spans="1:12" ht="30" customHeight="1" x14ac:dyDescent="0.3">
      <c r="A23" s="259" t="str">
        <f>IF(L23=1,"CrashLogic-"&amp;TEXT(COUNTIF($L$3:L23, "1"), "0"), "")</f>
        <v>CrashLogic-19</v>
      </c>
      <c r="B23" s="183" t="s">
        <v>43</v>
      </c>
      <c r="C23" s="164" t="s">
        <v>210</v>
      </c>
      <c r="D23" s="270"/>
      <c r="E23" s="186"/>
      <c r="F23" s="166"/>
      <c r="G23" s="137" t="s">
        <v>101</v>
      </c>
      <c r="I23" s="116">
        <f>IF(NOT(ISBLANK($B23)),VLOOKUP($B23,specdata,2,FALSE()),"")</f>
        <v>1</v>
      </c>
      <c r="J23" s="116">
        <f>VLOOKUP(G23,AvailabilityData,2,FALSE())</f>
        <v>0</v>
      </c>
      <c r="K23" s="116">
        <f>I23*J23</f>
        <v>0</v>
      </c>
      <c r="L23" s="115">
        <v>1</v>
      </c>
    </row>
    <row r="24" spans="1:12" ht="30" customHeight="1" x14ac:dyDescent="0.3">
      <c r="A24" s="259" t="str">
        <f>IF(L24=1,"CrashLogic-"&amp;TEXT(COUNTIF($L$3:L24, "1"), "0"), "")</f>
        <v>CrashLogic-20</v>
      </c>
      <c r="B24" s="260" t="s">
        <v>43</v>
      </c>
      <c r="C24" s="170" t="s">
        <v>211</v>
      </c>
      <c r="D24" s="171"/>
      <c r="E24" s="172"/>
      <c r="F24" s="173"/>
      <c r="G24" s="176" t="s">
        <v>101</v>
      </c>
      <c r="I24" s="116">
        <f>IF(NOT(ISBLANK($B24)),VLOOKUP($B24,specdata,2,FALSE()),"")</f>
        <v>1</v>
      </c>
      <c r="J24" s="116">
        <f>VLOOKUP(G24,AvailabilityData,2,FALSE())</f>
        <v>0</v>
      </c>
      <c r="K24" s="116">
        <f>I24*J24</f>
        <v>0</v>
      </c>
      <c r="L24" s="115">
        <v>1</v>
      </c>
    </row>
    <row r="25" spans="1:12" x14ac:dyDescent="0.3">
      <c r="A25" s="316"/>
      <c r="B25" s="126"/>
      <c r="C25" s="193" t="s">
        <v>174</v>
      </c>
      <c r="D25" s="179"/>
      <c r="E25" s="180"/>
      <c r="F25" s="181"/>
      <c r="G25" s="182"/>
    </row>
    <row r="26" spans="1:12" ht="30" customHeight="1" x14ac:dyDescent="0.3">
      <c r="A26" s="259" t="str">
        <f>IF(L26=1,"CrashLogic-"&amp;TEXT(COUNTIF($L$3:L26, "1"), "0"), "")</f>
        <v>CrashLogic-21</v>
      </c>
      <c r="B26" s="183" t="s">
        <v>43</v>
      </c>
      <c r="C26" s="184" t="s">
        <v>258</v>
      </c>
      <c r="D26" s="270"/>
      <c r="E26" s="186"/>
      <c r="F26" s="191"/>
      <c r="G26" s="187" t="s">
        <v>101</v>
      </c>
      <c r="I26" s="116">
        <f>IF(NOT(ISBLANK($B26)),VLOOKUP($B26,specdata,2,FALSE()),"")</f>
        <v>1</v>
      </c>
      <c r="J26" s="116">
        <f>VLOOKUP(G26,AvailabilityData,2,FALSE())</f>
        <v>0</v>
      </c>
      <c r="K26" s="116">
        <f>I26*J26</f>
        <v>0</v>
      </c>
      <c r="L26" s="115">
        <v>1</v>
      </c>
    </row>
    <row r="27" spans="1:12" ht="46.8" x14ac:dyDescent="0.3">
      <c r="A27" s="259" t="str">
        <f>IF(L27=1,"CrashLogic-"&amp;TEXT(COUNTIF($L$3:L27, "1"), "0"), "")</f>
        <v>CrashLogic-22</v>
      </c>
      <c r="B27" s="183" t="s">
        <v>43</v>
      </c>
      <c r="C27" s="164" t="s">
        <v>412</v>
      </c>
      <c r="D27" s="270"/>
      <c r="E27" s="186"/>
      <c r="F27" s="166"/>
      <c r="G27" s="137" t="s">
        <v>101</v>
      </c>
      <c r="I27" s="116">
        <f>IF(NOT(ISBLANK($B27)),VLOOKUP($B27,specdata,2,FALSE()),"")</f>
        <v>1</v>
      </c>
      <c r="J27" s="116">
        <f>VLOOKUP(G27,AvailabilityData,2,FALSE())</f>
        <v>0</v>
      </c>
      <c r="K27" s="116">
        <f>I27*J27</f>
        <v>0</v>
      </c>
      <c r="L27" s="115">
        <v>1</v>
      </c>
    </row>
    <row r="28" spans="1:12" ht="46.8" x14ac:dyDescent="0.3">
      <c r="A28" s="259" t="str">
        <f>IF(L28=1,"CrashLogic-"&amp;TEXT(COUNTIF($L$3:L28, "1"), "0"), "")</f>
        <v>CrashLogic-23</v>
      </c>
      <c r="B28" s="183" t="s">
        <v>43</v>
      </c>
      <c r="C28" s="164" t="s">
        <v>193</v>
      </c>
      <c r="D28" s="270"/>
      <c r="E28" s="186"/>
      <c r="F28" s="166"/>
      <c r="G28" s="137" t="s">
        <v>101</v>
      </c>
      <c r="I28" s="116">
        <f>IF(NOT(ISBLANK($B28)),VLOOKUP($B28,specdata,2,FALSE()),"")</f>
        <v>1</v>
      </c>
      <c r="J28" s="116">
        <f>VLOOKUP(G28,AvailabilityData,2,FALSE())</f>
        <v>0</v>
      </c>
      <c r="K28" s="116">
        <f>I28*J28</f>
        <v>0</v>
      </c>
      <c r="L28" s="115">
        <v>1</v>
      </c>
    </row>
    <row r="29" spans="1:12" ht="30" customHeight="1" x14ac:dyDescent="0.3">
      <c r="A29" s="259" t="str">
        <f>IF(L29=1,"CrashLogic-"&amp;TEXT(COUNTIF($L$3:L29, "1"), "0"), "")</f>
        <v>CrashLogic-24</v>
      </c>
      <c r="B29" s="183" t="s">
        <v>43</v>
      </c>
      <c r="C29" s="164" t="s">
        <v>485</v>
      </c>
      <c r="D29" s="270"/>
      <c r="E29" s="186"/>
      <c r="F29" s="166"/>
      <c r="G29" s="137" t="s">
        <v>101</v>
      </c>
      <c r="I29" s="116">
        <f>IF(NOT(ISBLANK($B29)),VLOOKUP($B29,specdata,2,FALSE()),"")</f>
        <v>1</v>
      </c>
      <c r="J29" s="116">
        <f>VLOOKUP(G29,AvailabilityData,2,FALSE())</f>
        <v>0</v>
      </c>
      <c r="K29" s="116">
        <f>I29*J29</f>
        <v>0</v>
      </c>
      <c r="L29" s="115">
        <v>1</v>
      </c>
    </row>
  </sheetData>
  <sheetProtection algorithmName="SHA-512" hashValue="lFwXF58KOUu5XJvjuLrl17pO7mPvsTvLsSGZpX8wQF5wjRb25o9c8Ot2L5lBOtcRk+2aow3uKiF/fCBjb/eNZA==" saltValue="Gn2bPjY5plwPwAkj3PFprg==" spinCount="100000" sheet="1" formatRows="0"/>
  <mergeCells count="1">
    <mergeCell ref="N3:P6"/>
  </mergeCells>
  <conditionalFormatting sqref="B1:B1048576">
    <cfRule type="cellIs" dxfId="240" priority="2" operator="equal">
      <formula>"Informational"</formula>
    </cfRule>
    <cfRule type="cellIs" dxfId="239" priority="3" operator="equal">
      <formula>"Not Needed"</formula>
    </cfRule>
    <cfRule type="cellIs" dxfId="238" priority="4" operator="equal">
      <formula>"Critical"</formula>
    </cfRule>
    <cfRule type="cellIs" dxfId="237" priority="5" operator="equal">
      <formula>"Extremely Advantageous"</formula>
    </cfRule>
  </conditionalFormatting>
  <conditionalFormatting sqref="G1:G1048576">
    <cfRule type="cellIs" dxfId="236" priority="6" operator="equal">
      <formula>"Exception"</formula>
    </cfRule>
  </conditionalFormatting>
  <conditionalFormatting sqref="G3:G29">
    <cfRule type="cellIs" dxfId="235"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29" xr:uid="{00000000-0002-0000-1300-000000000000}">
      <formula1>SpecType</formula1>
      <formula2>0</formula2>
    </dataValidation>
    <dataValidation type="list" allowBlank="1" showInputMessage="1" showErrorMessage="1" sqref="G3:G29" xr:uid="{00000000-0002-0000-13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K154"/>
  <sheetViews>
    <sheetView zoomScale="90" zoomScaleNormal="90" zoomScalePageLayoutView="90" workbookViewId="0">
      <selection activeCell="A2" sqref="A2"/>
    </sheetView>
  </sheetViews>
  <sheetFormatPr defaultColWidth="9" defaultRowHeight="13.8" x14ac:dyDescent="0.25"/>
  <cols>
    <col min="1" max="1" width="12.59765625" style="195" customWidth="1"/>
    <col min="2" max="2" width="14.59765625" style="195" customWidth="1"/>
    <col min="3" max="3" width="65.59765625" style="356" customWidth="1"/>
    <col min="4" max="4" width="65.59765625" style="197" customWidth="1"/>
    <col min="5" max="5" width="10.59765625" style="197" customWidth="1"/>
    <col min="6" max="6" width="6.59765625" style="197" customWidth="1"/>
    <col min="7" max="7" width="30.59765625" style="197" customWidth="1"/>
    <col min="8" max="11" width="8.59765625" style="197" customWidth="1"/>
    <col min="12" max="16384" width="9" style="197"/>
  </cols>
  <sheetData>
    <row r="1" spans="1:11" s="124" customFormat="1" ht="105" customHeight="1" x14ac:dyDescent="0.25">
      <c r="A1" s="158" t="s">
        <v>102</v>
      </c>
      <c r="B1" s="158" t="s">
        <v>103</v>
      </c>
      <c r="C1" s="158" t="str">
        <f>'Support Data'!A18</f>
        <v>Specifications</v>
      </c>
      <c r="D1" s="159" t="str">
        <f>'Support Data'!$A$19</f>
        <v>Contractor Work Area</v>
      </c>
      <c r="E1" s="159" t="str">
        <f>'Support Data'!A20</f>
        <v>Def ID</v>
      </c>
      <c r="F1" s="160" t="s">
        <v>78</v>
      </c>
      <c r="G1" s="159" t="str">
        <f>'Support Data'!A22</f>
        <v>Availability</v>
      </c>
      <c r="H1" s="123" t="str">
        <f>'Support Data'!A24</f>
        <v>Summary</v>
      </c>
      <c r="I1" s="123" t="str">
        <f>'Support Data'!A25</f>
        <v>Spec Weight</v>
      </c>
      <c r="J1" s="123" t="str">
        <f>'Support Data'!A26</f>
        <v>Avail Weight</v>
      </c>
      <c r="K1" s="123" t="str">
        <f>'Support Data'!A27</f>
        <v>Score</v>
      </c>
    </row>
    <row r="2" spans="1:11" ht="15.6" x14ac:dyDescent="0.3">
      <c r="A2" s="198" t="s">
        <v>486</v>
      </c>
      <c r="B2" s="161"/>
      <c r="C2" s="357"/>
      <c r="D2" s="200"/>
      <c r="E2" s="201"/>
      <c r="F2" s="201"/>
      <c r="G2" s="201"/>
      <c r="H2" s="207">
        <f>COUNTA(B3:B33)</f>
        <v>27</v>
      </c>
      <c r="K2" s="115" t="e">
        <f>SUM(K3:K33)</f>
        <v>#N/A</v>
      </c>
    </row>
    <row r="3" spans="1:11" ht="30" customHeight="1" x14ac:dyDescent="0.3">
      <c r="A3" s="289" t="s">
        <v>487</v>
      </c>
      <c r="B3" s="290" t="s">
        <v>262</v>
      </c>
      <c r="C3" s="291" t="s">
        <v>488</v>
      </c>
      <c r="D3" s="292"/>
      <c r="E3" s="224"/>
      <c r="F3" s="176">
        <v>1</v>
      </c>
      <c r="G3" s="293" t="s">
        <v>101</v>
      </c>
      <c r="H3" s="115">
        <f>COUNTIF(G:G,"=Select from Drop Down List")</f>
        <v>27</v>
      </c>
      <c r="I3" s="116" t="e">
        <f>IF(NOT(ISBLANK($B3)),VLOOKUP($B3,specdata,2,FALSE()),"")</f>
        <v>#N/A</v>
      </c>
      <c r="J3" s="207">
        <f>VLOOKUP(G3,AvailabilityData,2,FALSE())</f>
        <v>0</v>
      </c>
      <c r="K3" s="116" t="e">
        <f>I3*J3</f>
        <v>#N/A</v>
      </c>
    </row>
    <row r="4" spans="1:11" ht="30" customHeight="1" x14ac:dyDescent="0.3">
      <c r="A4" s="210"/>
      <c r="B4" s="211"/>
      <c r="C4" s="212" t="s">
        <v>489</v>
      </c>
      <c r="D4" s="294"/>
      <c r="E4" s="214"/>
      <c r="F4" s="181"/>
      <c r="G4" s="215"/>
      <c r="H4" s="115">
        <f>COUNTIF(G:G,"=Function Available")</f>
        <v>0</v>
      </c>
      <c r="I4" s="116"/>
      <c r="J4" s="207"/>
      <c r="K4" s="116"/>
    </row>
    <row r="5" spans="1:11" ht="30" customHeight="1" x14ac:dyDescent="0.3">
      <c r="A5" s="216" t="s">
        <v>490</v>
      </c>
      <c r="B5" s="203" t="s">
        <v>262</v>
      </c>
      <c r="C5" s="232" t="s">
        <v>491</v>
      </c>
      <c r="D5" s="218"/>
      <c r="E5" s="219"/>
      <c r="F5" s="191">
        <v>1</v>
      </c>
      <c r="G5" s="296" t="s">
        <v>101</v>
      </c>
      <c r="H5" s="115">
        <f>COUNTIF(F:G,"=Function Not Available")</f>
        <v>0</v>
      </c>
      <c r="I5" s="116" t="e">
        <f t="shared" ref="I5:I18" si="0">IF(NOT(ISBLANK($B5)),VLOOKUP($B5,specdata,2,FALSE()),"")</f>
        <v>#N/A</v>
      </c>
      <c r="J5" s="207">
        <f t="shared" ref="J5:J18" si="1">VLOOKUP(G5,AvailabilityData,2,FALSE())</f>
        <v>0</v>
      </c>
      <c r="K5" s="116" t="e">
        <f t="shared" ref="K5:K18" si="2">I5*J5</f>
        <v>#N/A</v>
      </c>
    </row>
    <row r="6" spans="1:11" ht="30" customHeight="1" x14ac:dyDescent="0.3">
      <c r="A6" s="216" t="s">
        <v>492</v>
      </c>
      <c r="B6" s="203" t="s">
        <v>262</v>
      </c>
      <c r="C6" s="208" t="s">
        <v>493</v>
      </c>
      <c r="D6" s="218"/>
      <c r="E6" s="219"/>
      <c r="F6" s="166">
        <v>1</v>
      </c>
      <c r="G6" s="299" t="s">
        <v>101</v>
      </c>
      <c r="H6" s="115">
        <f>COUNTIF(G:G,"=Exception")</f>
        <v>0</v>
      </c>
      <c r="I6" s="116" t="e">
        <f t="shared" si="0"/>
        <v>#N/A</v>
      </c>
      <c r="J6" s="207">
        <f t="shared" si="1"/>
        <v>0</v>
      </c>
      <c r="K6" s="116" t="e">
        <f t="shared" si="2"/>
        <v>#N/A</v>
      </c>
    </row>
    <row r="7" spans="1:11" ht="30" customHeight="1" x14ac:dyDescent="0.3">
      <c r="A7" s="216" t="s">
        <v>494</v>
      </c>
      <c r="B7" s="311" t="s">
        <v>262</v>
      </c>
      <c r="C7" s="291" t="s">
        <v>495</v>
      </c>
      <c r="D7" s="228"/>
      <c r="E7" s="229"/>
      <c r="F7" s="173">
        <v>1</v>
      </c>
      <c r="G7" s="299" t="s">
        <v>101</v>
      </c>
      <c r="H7" s="300">
        <f>COUNTIFS(B:B,"=Extremely Advantageous",G:G,"=Select from Drop Down List")</f>
        <v>0</v>
      </c>
      <c r="I7" s="116" t="e">
        <f t="shared" si="0"/>
        <v>#N/A</v>
      </c>
      <c r="J7" s="207">
        <f t="shared" si="1"/>
        <v>0</v>
      </c>
      <c r="K7" s="116" t="e">
        <f t="shared" si="2"/>
        <v>#N/A</v>
      </c>
    </row>
    <row r="8" spans="1:11" ht="30" customHeight="1" x14ac:dyDescent="0.3">
      <c r="A8" s="216" t="s">
        <v>496</v>
      </c>
      <c r="B8" s="297" t="s">
        <v>262</v>
      </c>
      <c r="C8" s="208" t="s">
        <v>497</v>
      </c>
      <c r="D8" s="209"/>
      <c r="E8" s="205"/>
      <c r="F8" s="137">
        <v>1</v>
      </c>
      <c r="G8" s="303" t="s">
        <v>101</v>
      </c>
      <c r="H8" s="300">
        <f>COUNTIFS(B:B,"=Extremely Advantageous",G:G,"=Function Available")</f>
        <v>0</v>
      </c>
      <c r="I8" s="116" t="e">
        <f t="shared" si="0"/>
        <v>#N/A</v>
      </c>
      <c r="J8" s="207">
        <f t="shared" si="1"/>
        <v>0</v>
      </c>
      <c r="K8" s="116" t="e">
        <f t="shared" si="2"/>
        <v>#N/A</v>
      </c>
    </row>
    <row r="9" spans="1:11" ht="30" customHeight="1" x14ac:dyDescent="0.3">
      <c r="A9" s="216" t="s">
        <v>498</v>
      </c>
      <c r="B9" s="297" t="s">
        <v>262</v>
      </c>
      <c r="C9" s="208" t="s">
        <v>499</v>
      </c>
      <c r="D9" s="209"/>
      <c r="E9" s="205"/>
      <c r="F9" s="137">
        <v>1</v>
      </c>
      <c r="G9" s="303" t="s">
        <v>101</v>
      </c>
      <c r="H9" s="300">
        <f>COUNTIFS(B:B,"=Extremely Advantageous",G:G,"=Function Not Available")</f>
        <v>0</v>
      </c>
      <c r="I9" s="116" t="e">
        <f t="shared" si="0"/>
        <v>#N/A</v>
      </c>
      <c r="J9" s="207">
        <f t="shared" si="1"/>
        <v>0</v>
      </c>
      <c r="K9" s="116" t="e">
        <f t="shared" si="2"/>
        <v>#N/A</v>
      </c>
    </row>
    <row r="10" spans="1:11" ht="30" customHeight="1" x14ac:dyDescent="0.3">
      <c r="A10" s="216" t="s">
        <v>500</v>
      </c>
      <c r="B10" s="297" t="s">
        <v>262</v>
      </c>
      <c r="C10" s="208" t="s">
        <v>501</v>
      </c>
      <c r="D10" s="209"/>
      <c r="E10" s="205"/>
      <c r="F10" s="137">
        <v>1</v>
      </c>
      <c r="G10" s="303" t="s">
        <v>101</v>
      </c>
      <c r="H10" s="300">
        <f>COUNTIFS(B:B,"=Extremely Advantageous",G:G,"=Exception")</f>
        <v>0</v>
      </c>
      <c r="I10" s="116" t="e">
        <f t="shared" si="0"/>
        <v>#N/A</v>
      </c>
      <c r="J10" s="207">
        <f t="shared" si="1"/>
        <v>0</v>
      </c>
      <c r="K10" s="116" t="e">
        <f t="shared" si="2"/>
        <v>#N/A</v>
      </c>
    </row>
    <row r="11" spans="1:11" ht="30" customHeight="1" x14ac:dyDescent="0.3">
      <c r="A11" s="216" t="s">
        <v>502</v>
      </c>
      <c r="B11" s="297" t="s">
        <v>262</v>
      </c>
      <c r="C11" s="208" t="s">
        <v>503</v>
      </c>
      <c r="D11" s="209"/>
      <c r="E11" s="205"/>
      <c r="F11" s="137">
        <v>1</v>
      </c>
      <c r="G11" s="303" t="s">
        <v>101</v>
      </c>
      <c r="H11" s="304">
        <f>COUNTIFS(B:B,"=Advantageous",G:G,"=Select from Drop Down List")</f>
        <v>27</v>
      </c>
      <c r="I11" s="116" t="e">
        <f t="shared" si="0"/>
        <v>#N/A</v>
      </c>
      <c r="J11" s="207">
        <f t="shared" si="1"/>
        <v>0</v>
      </c>
      <c r="K11" s="116" t="e">
        <f t="shared" si="2"/>
        <v>#N/A</v>
      </c>
    </row>
    <row r="12" spans="1:11" ht="30" customHeight="1" x14ac:dyDescent="0.3">
      <c r="A12" s="216" t="s">
        <v>504</v>
      </c>
      <c r="B12" s="297" t="s">
        <v>262</v>
      </c>
      <c r="C12" s="208" t="s">
        <v>505</v>
      </c>
      <c r="D12" s="209"/>
      <c r="E12" s="205"/>
      <c r="F12" s="137">
        <v>1</v>
      </c>
      <c r="G12" s="303" t="s">
        <v>101</v>
      </c>
      <c r="H12" s="304">
        <f>COUNTIFS(B:B,"=Advantageous",G:G,"=Function Available")</f>
        <v>0</v>
      </c>
      <c r="I12" s="116" t="e">
        <f t="shared" si="0"/>
        <v>#N/A</v>
      </c>
      <c r="J12" s="207">
        <f t="shared" si="1"/>
        <v>0</v>
      </c>
      <c r="K12" s="116" t="e">
        <f t="shared" si="2"/>
        <v>#N/A</v>
      </c>
    </row>
    <row r="13" spans="1:11" ht="27.6" x14ac:dyDescent="0.3">
      <c r="A13" s="216" t="s">
        <v>506</v>
      </c>
      <c r="B13" s="297" t="s">
        <v>262</v>
      </c>
      <c r="C13" s="208" t="s">
        <v>507</v>
      </c>
      <c r="D13" s="209"/>
      <c r="E13" s="205"/>
      <c r="F13" s="137">
        <v>1</v>
      </c>
      <c r="G13" s="299" t="s">
        <v>101</v>
      </c>
      <c r="H13" s="304">
        <f>COUNTIFS(B:B,"=Advantageous",G:G,"=Function Not Available")</f>
        <v>0</v>
      </c>
      <c r="I13" s="116" t="e">
        <f t="shared" si="0"/>
        <v>#N/A</v>
      </c>
      <c r="J13" s="207">
        <f t="shared" si="1"/>
        <v>0</v>
      </c>
      <c r="K13" s="116" t="e">
        <f t="shared" si="2"/>
        <v>#N/A</v>
      </c>
    </row>
    <row r="14" spans="1:11" ht="30" customHeight="1" x14ac:dyDescent="0.3">
      <c r="A14" s="216" t="s">
        <v>508</v>
      </c>
      <c r="B14" s="297" t="s">
        <v>262</v>
      </c>
      <c r="C14" s="208" t="s">
        <v>509</v>
      </c>
      <c r="D14" s="209"/>
      <c r="E14" s="205"/>
      <c r="F14" s="137">
        <v>1</v>
      </c>
      <c r="G14" s="299" t="s">
        <v>101</v>
      </c>
      <c r="H14" s="304">
        <f>COUNTIFS(B:B,"=Advantageous",G:G,"=Exception")</f>
        <v>0</v>
      </c>
      <c r="I14" s="116" t="e">
        <f t="shared" si="0"/>
        <v>#N/A</v>
      </c>
      <c r="J14" s="207">
        <f t="shared" si="1"/>
        <v>0</v>
      </c>
      <c r="K14" s="116" t="e">
        <f t="shared" si="2"/>
        <v>#N/A</v>
      </c>
    </row>
    <row r="15" spans="1:11" ht="27.6" x14ac:dyDescent="0.3">
      <c r="A15" s="216" t="s">
        <v>510</v>
      </c>
      <c r="B15" s="297" t="s">
        <v>262</v>
      </c>
      <c r="C15" s="208" t="s">
        <v>511</v>
      </c>
      <c r="D15" s="209"/>
      <c r="E15" s="205"/>
      <c r="F15" s="137">
        <v>1</v>
      </c>
      <c r="G15" s="299" t="s">
        <v>101</v>
      </c>
      <c r="H15" s="257">
        <f>COUNTIFS(B:B,"=Minimal",G:G,"=Select from Drop Down List")</f>
        <v>0</v>
      </c>
      <c r="I15" s="116" t="e">
        <f t="shared" si="0"/>
        <v>#N/A</v>
      </c>
      <c r="J15" s="207">
        <f t="shared" si="1"/>
        <v>0</v>
      </c>
      <c r="K15" s="116" t="e">
        <f t="shared" si="2"/>
        <v>#N/A</v>
      </c>
    </row>
    <row r="16" spans="1:11" ht="27.6" x14ac:dyDescent="0.3">
      <c r="A16" s="216" t="s">
        <v>512</v>
      </c>
      <c r="B16" s="297" t="s">
        <v>262</v>
      </c>
      <c r="C16" s="208" t="s">
        <v>513</v>
      </c>
      <c r="D16" s="209"/>
      <c r="E16" s="205"/>
      <c r="F16" s="137">
        <v>1</v>
      </c>
      <c r="G16" s="299" t="s">
        <v>101</v>
      </c>
      <c r="H16" s="257">
        <f>COUNTIFS(B:B,"=Minimal",G:G,"=Function Available")</f>
        <v>0</v>
      </c>
      <c r="I16" s="116" t="e">
        <f t="shared" si="0"/>
        <v>#N/A</v>
      </c>
      <c r="J16" s="207">
        <f t="shared" si="1"/>
        <v>0</v>
      </c>
      <c r="K16" s="116" t="e">
        <f t="shared" si="2"/>
        <v>#N/A</v>
      </c>
    </row>
    <row r="17" spans="1:11" ht="27.6" x14ac:dyDescent="0.3">
      <c r="A17" s="216" t="s">
        <v>514</v>
      </c>
      <c r="B17" s="297" t="s">
        <v>262</v>
      </c>
      <c r="C17" s="208" t="s">
        <v>515</v>
      </c>
      <c r="D17" s="209"/>
      <c r="E17" s="205"/>
      <c r="F17" s="137">
        <v>1</v>
      </c>
      <c r="G17" s="299" t="s">
        <v>101</v>
      </c>
      <c r="H17" s="257">
        <f>COUNTIFS(B:B,"=Minimal",G:G,"=Function Not Available")</f>
        <v>0</v>
      </c>
      <c r="I17" s="116" t="e">
        <f t="shared" si="0"/>
        <v>#N/A</v>
      </c>
      <c r="J17" s="207">
        <f t="shared" si="1"/>
        <v>0</v>
      </c>
      <c r="K17" s="116" t="e">
        <f t="shared" si="2"/>
        <v>#N/A</v>
      </c>
    </row>
    <row r="18" spans="1:11" ht="27.6" x14ac:dyDescent="0.3">
      <c r="A18" s="216" t="s">
        <v>516</v>
      </c>
      <c r="B18" s="297" t="s">
        <v>262</v>
      </c>
      <c r="C18" s="208" t="s">
        <v>517</v>
      </c>
      <c r="D18" s="209"/>
      <c r="E18" s="205"/>
      <c r="F18" s="137">
        <v>1</v>
      </c>
      <c r="G18" s="293" t="s">
        <v>101</v>
      </c>
      <c r="H18" s="257">
        <f>COUNTIFS(B:B,"=Minimal",G:G,"=Exception")</f>
        <v>0</v>
      </c>
      <c r="I18" s="116" t="e">
        <f t="shared" si="0"/>
        <v>#N/A</v>
      </c>
      <c r="J18" s="207">
        <f t="shared" si="1"/>
        <v>0</v>
      </c>
      <c r="K18" s="116" t="e">
        <f t="shared" si="2"/>
        <v>#N/A</v>
      </c>
    </row>
    <row r="19" spans="1:11" ht="15.6" x14ac:dyDescent="0.3">
      <c r="A19" s="210"/>
      <c r="B19" s="211"/>
      <c r="C19" s="212" t="s">
        <v>168</v>
      </c>
      <c r="D19" s="294"/>
      <c r="E19" s="214"/>
      <c r="F19" s="181"/>
      <c r="G19" s="215"/>
      <c r="I19" s="116"/>
      <c r="J19" s="207"/>
      <c r="K19" s="116"/>
    </row>
    <row r="20" spans="1:11" ht="30" customHeight="1" x14ac:dyDescent="0.3">
      <c r="A20" s="216" t="s">
        <v>518</v>
      </c>
      <c r="B20" s="203" t="s">
        <v>262</v>
      </c>
      <c r="C20" s="232" t="s">
        <v>185</v>
      </c>
      <c r="D20" s="295"/>
      <c r="E20" s="219"/>
      <c r="F20" s="191">
        <v>1</v>
      </c>
      <c r="G20" s="296" t="s">
        <v>101</v>
      </c>
      <c r="I20" s="116" t="e">
        <f>IF(NOT(ISBLANK($B20)),VLOOKUP($B20,specdata,2,FALSE()),"")</f>
        <v>#N/A</v>
      </c>
      <c r="J20" s="207">
        <f>VLOOKUP(G20,AvailabilityData,2,FALSE())</f>
        <v>0</v>
      </c>
      <c r="K20" s="116" t="e">
        <f>I20*J20</f>
        <v>#N/A</v>
      </c>
    </row>
    <row r="21" spans="1:11" ht="30" customHeight="1" x14ac:dyDescent="0.3">
      <c r="A21" s="216" t="s">
        <v>519</v>
      </c>
      <c r="B21" s="203" t="s">
        <v>262</v>
      </c>
      <c r="C21" s="208" t="s">
        <v>170</v>
      </c>
      <c r="D21" s="295"/>
      <c r="E21" s="219"/>
      <c r="F21" s="166">
        <v>1</v>
      </c>
      <c r="G21" s="299" t="s">
        <v>101</v>
      </c>
      <c r="I21" s="116" t="e">
        <f>IF(NOT(ISBLANK($B21)),VLOOKUP($B21,specdata,2,FALSE()),"")</f>
        <v>#N/A</v>
      </c>
      <c r="J21" s="207">
        <f>VLOOKUP(G21,AvailabilityData,2,FALSE())</f>
        <v>0</v>
      </c>
      <c r="K21" s="116" t="e">
        <f>I21*J21</f>
        <v>#N/A</v>
      </c>
    </row>
    <row r="22" spans="1:11" ht="30" customHeight="1" x14ac:dyDescent="0.3">
      <c r="A22" s="216" t="s">
        <v>520</v>
      </c>
      <c r="B22" s="203" t="s">
        <v>262</v>
      </c>
      <c r="C22" s="291" t="s">
        <v>255</v>
      </c>
      <c r="D22" s="358"/>
      <c r="E22" s="219"/>
      <c r="F22" s="166">
        <v>1</v>
      </c>
      <c r="G22" s="299" t="s">
        <v>101</v>
      </c>
      <c r="I22" s="116" t="e">
        <f>IF(NOT(ISBLANK($B22)),VLOOKUP($B22,specdata,2,FALSE()),"")</f>
        <v>#N/A</v>
      </c>
      <c r="J22" s="207">
        <f>VLOOKUP(G22,AvailabilityData,2,FALSE())</f>
        <v>0</v>
      </c>
      <c r="K22" s="116" t="e">
        <f>I22*J22</f>
        <v>#N/A</v>
      </c>
    </row>
    <row r="23" spans="1:11" ht="27.6" x14ac:dyDescent="0.3">
      <c r="A23" s="216" t="s">
        <v>521</v>
      </c>
      <c r="B23" s="311" t="s">
        <v>262</v>
      </c>
      <c r="C23" s="227" t="s">
        <v>256</v>
      </c>
      <c r="D23" s="228"/>
      <c r="E23" s="229"/>
      <c r="F23" s="173">
        <v>1</v>
      </c>
      <c r="G23" s="293" t="s">
        <v>101</v>
      </c>
      <c r="I23" s="116" t="e">
        <f>IF(NOT(ISBLANK($B23)),VLOOKUP($B23,specdata,2,FALSE()),"")</f>
        <v>#N/A</v>
      </c>
      <c r="J23" s="207">
        <f>VLOOKUP(G23,AvailabilityData,2,FALSE())</f>
        <v>0</v>
      </c>
      <c r="K23" s="116" t="e">
        <f>I23*J23</f>
        <v>#N/A</v>
      </c>
    </row>
    <row r="24" spans="1:11" ht="15.6" x14ac:dyDescent="0.3">
      <c r="A24" s="210"/>
      <c r="B24" s="211"/>
      <c r="C24" s="212" t="s">
        <v>165</v>
      </c>
      <c r="D24" s="213"/>
      <c r="E24" s="214"/>
      <c r="F24" s="181"/>
      <c r="G24" s="215"/>
      <c r="I24" s="116"/>
      <c r="J24" s="207"/>
      <c r="K24" s="116"/>
    </row>
    <row r="25" spans="1:11" ht="30" customHeight="1" x14ac:dyDescent="0.3">
      <c r="A25" s="216" t="s">
        <v>522</v>
      </c>
      <c r="B25" s="203" t="s">
        <v>262</v>
      </c>
      <c r="C25" s="232" t="s">
        <v>208</v>
      </c>
      <c r="D25" s="218"/>
      <c r="E25" s="219"/>
      <c r="F25" s="191">
        <v>1</v>
      </c>
      <c r="G25" s="296" t="s">
        <v>101</v>
      </c>
      <c r="I25" s="116" t="e">
        <f>IF(NOT(ISBLANK($B25)),VLOOKUP($B25,specdata,2,FALSE()),"")</f>
        <v>#N/A</v>
      </c>
      <c r="J25" s="207">
        <f>VLOOKUP(G25,AvailabilityData,2,FALSE())</f>
        <v>0</v>
      </c>
      <c r="K25" s="116" t="e">
        <f>I25*J25</f>
        <v>#N/A</v>
      </c>
    </row>
    <row r="26" spans="1:11" ht="30" customHeight="1" x14ac:dyDescent="0.3">
      <c r="A26" s="216" t="s">
        <v>523</v>
      </c>
      <c r="B26" s="203" t="s">
        <v>262</v>
      </c>
      <c r="C26" s="208" t="s">
        <v>524</v>
      </c>
      <c r="D26" s="218"/>
      <c r="E26" s="219"/>
      <c r="F26" s="166">
        <v>1</v>
      </c>
      <c r="G26" s="299" t="s">
        <v>101</v>
      </c>
      <c r="I26" s="116" t="e">
        <f>IF(NOT(ISBLANK($B26)),VLOOKUP($B26,specdata,2,FALSE()),"")</f>
        <v>#N/A</v>
      </c>
      <c r="J26" s="207">
        <f>VLOOKUP(G26,AvailabilityData,2,FALSE())</f>
        <v>0</v>
      </c>
      <c r="K26" s="116" t="e">
        <f>I26*J26</f>
        <v>#N/A</v>
      </c>
    </row>
    <row r="27" spans="1:11" ht="30" customHeight="1" x14ac:dyDescent="0.3">
      <c r="A27" s="216" t="s">
        <v>525</v>
      </c>
      <c r="B27" s="203" t="s">
        <v>262</v>
      </c>
      <c r="C27" s="208" t="s">
        <v>210</v>
      </c>
      <c r="D27" s="218"/>
      <c r="E27" s="219"/>
      <c r="F27" s="166">
        <v>1</v>
      </c>
      <c r="G27" s="299" t="s">
        <v>101</v>
      </c>
      <c r="I27" s="116" t="e">
        <f>IF(NOT(ISBLANK($B27)),VLOOKUP($B27,specdata,2,FALSE()),"")</f>
        <v>#N/A</v>
      </c>
      <c r="J27" s="207">
        <f>VLOOKUP(G27,AvailabilityData,2,FALSE())</f>
        <v>0</v>
      </c>
      <c r="K27" s="116" t="e">
        <f>I27*J27</f>
        <v>#N/A</v>
      </c>
    </row>
    <row r="28" spans="1:11" ht="30" customHeight="1" x14ac:dyDescent="0.3">
      <c r="A28" s="216" t="s">
        <v>526</v>
      </c>
      <c r="B28" s="311" t="s">
        <v>262</v>
      </c>
      <c r="C28" s="291" t="s">
        <v>211</v>
      </c>
      <c r="D28" s="228"/>
      <c r="E28" s="229"/>
      <c r="F28" s="173">
        <v>1</v>
      </c>
      <c r="G28" s="293" t="s">
        <v>101</v>
      </c>
      <c r="I28" s="116" t="e">
        <f>IF(NOT(ISBLANK($B28)),VLOOKUP($B28,specdata,2,FALSE()),"")</f>
        <v>#N/A</v>
      </c>
      <c r="J28" s="207">
        <f>VLOOKUP(G28,AvailabilityData,2,FALSE())</f>
        <v>0</v>
      </c>
      <c r="K28" s="116" t="e">
        <f>I28*J28</f>
        <v>#N/A</v>
      </c>
    </row>
    <row r="29" spans="1:11" ht="15.6" x14ac:dyDescent="0.3">
      <c r="A29" s="210"/>
      <c r="B29" s="211"/>
      <c r="C29" s="212" t="s">
        <v>174</v>
      </c>
      <c r="D29" s="213"/>
      <c r="E29" s="214"/>
      <c r="F29" s="181"/>
      <c r="G29" s="215"/>
      <c r="I29" s="116"/>
      <c r="J29" s="207"/>
      <c r="K29" s="116"/>
    </row>
    <row r="30" spans="1:11" ht="30" customHeight="1" x14ac:dyDescent="0.3">
      <c r="A30" s="216" t="s">
        <v>527</v>
      </c>
      <c r="B30" s="203" t="s">
        <v>262</v>
      </c>
      <c r="C30" s="232" t="s">
        <v>528</v>
      </c>
      <c r="D30" s="218"/>
      <c r="E30" s="219"/>
      <c r="F30" s="191">
        <v>1</v>
      </c>
      <c r="G30" s="296" t="s">
        <v>101</v>
      </c>
      <c r="I30" s="116" t="e">
        <f>IF(NOT(ISBLANK($B30)),VLOOKUP($B30,specdata,2,FALSE()),"")</f>
        <v>#N/A</v>
      </c>
      <c r="J30" s="207">
        <f>VLOOKUP(G30,AvailabilityData,2,FALSE())</f>
        <v>0</v>
      </c>
      <c r="K30" s="116" t="e">
        <f>I30*J30</f>
        <v>#N/A</v>
      </c>
    </row>
    <row r="31" spans="1:11" ht="27.6" x14ac:dyDescent="0.3">
      <c r="A31" s="216" t="s">
        <v>529</v>
      </c>
      <c r="B31" s="203" t="s">
        <v>262</v>
      </c>
      <c r="C31" s="208" t="s">
        <v>530</v>
      </c>
      <c r="D31" s="295"/>
      <c r="E31" s="219"/>
      <c r="F31" s="166">
        <v>1</v>
      </c>
      <c r="G31" s="299" t="s">
        <v>101</v>
      </c>
      <c r="I31" s="116" t="e">
        <f>IF(NOT(ISBLANK($B31)),VLOOKUP($B31,specdata,2,FALSE()),"")</f>
        <v>#N/A</v>
      </c>
      <c r="J31" s="207">
        <f>VLOOKUP(G31,AvailabilityData,2,FALSE())</f>
        <v>0</v>
      </c>
      <c r="K31" s="116" t="e">
        <f>I31*J31</f>
        <v>#N/A</v>
      </c>
    </row>
    <row r="32" spans="1:11" ht="41.4" x14ac:dyDescent="0.3">
      <c r="A32" s="216" t="s">
        <v>531</v>
      </c>
      <c r="B32" s="203" t="s">
        <v>262</v>
      </c>
      <c r="C32" s="208" t="s">
        <v>193</v>
      </c>
      <c r="D32" s="298"/>
      <c r="E32" s="205"/>
      <c r="F32" s="166">
        <v>1</v>
      </c>
      <c r="G32" s="299" t="s">
        <v>101</v>
      </c>
      <c r="I32" s="116" t="e">
        <f>IF(NOT(ISBLANK($B32)),VLOOKUP($B32,specdata,2,FALSE()),"")</f>
        <v>#N/A</v>
      </c>
      <c r="J32" s="207">
        <f>VLOOKUP(G32,AvailabilityData,2,FALSE())</f>
        <v>0</v>
      </c>
      <c r="K32" s="116" t="e">
        <f>I32*J32</f>
        <v>#N/A</v>
      </c>
    </row>
    <row r="33" spans="1:11" ht="27.6" x14ac:dyDescent="0.3">
      <c r="A33" s="216" t="s">
        <v>532</v>
      </c>
      <c r="B33" s="203" t="s">
        <v>262</v>
      </c>
      <c r="C33" s="232" t="s">
        <v>533</v>
      </c>
      <c r="D33" s="295"/>
      <c r="E33" s="219"/>
      <c r="F33" s="166">
        <v>1</v>
      </c>
      <c r="G33" s="299" t="s">
        <v>101</v>
      </c>
      <c r="I33" s="116" t="e">
        <f>IF(NOT(ISBLANK($B33)),VLOOKUP($B33,specdata,2,FALSE()),"")</f>
        <v>#N/A</v>
      </c>
      <c r="J33" s="207">
        <f>VLOOKUP(G33,AvailabilityData,2,FALSE())</f>
        <v>0</v>
      </c>
      <c r="K33" s="116" t="e">
        <f>I33*J33</f>
        <v>#N/A</v>
      </c>
    </row>
    <row r="34" spans="1:11" ht="30" customHeight="1" x14ac:dyDescent="0.25"/>
    <row r="35" spans="1:11" ht="30" customHeight="1" x14ac:dyDescent="0.25"/>
    <row r="36" spans="1:11" ht="30" customHeight="1" x14ac:dyDescent="0.25"/>
    <row r="37" spans="1:11" ht="30" customHeight="1" x14ac:dyDescent="0.25"/>
    <row r="38" spans="1:11" ht="30" customHeight="1" x14ac:dyDescent="0.25"/>
    <row r="39" spans="1:11" ht="30" customHeight="1" x14ac:dyDescent="0.25"/>
    <row r="40" spans="1:11" ht="30" customHeight="1" x14ac:dyDescent="0.25"/>
    <row r="41" spans="1:11" ht="30" customHeight="1" x14ac:dyDescent="0.25"/>
    <row r="42" spans="1:11" ht="30" customHeight="1" x14ac:dyDescent="0.25"/>
    <row r="45" spans="1:11" ht="30" customHeight="1" x14ac:dyDescent="0.25"/>
    <row r="46" spans="1:11" ht="30" customHeight="1" x14ac:dyDescent="0.25"/>
    <row r="47" spans="1:11" ht="30" customHeight="1" x14ac:dyDescent="0.25"/>
    <row r="48" spans="1:11" ht="30" customHeight="1" x14ac:dyDescent="0.25"/>
    <row r="49" spans="4:4" ht="30" customHeight="1" x14ac:dyDescent="0.25"/>
    <row r="50" spans="4:4" ht="30" customHeight="1" x14ac:dyDescent="0.25"/>
    <row r="51" spans="4:4" ht="30" customHeight="1" x14ac:dyDescent="0.25"/>
    <row r="52" spans="4:4" ht="30" customHeight="1" x14ac:dyDescent="0.25"/>
    <row r="53" spans="4:4" ht="30" customHeight="1" x14ac:dyDescent="0.25"/>
    <row r="54" spans="4:4" ht="30" customHeight="1" x14ac:dyDescent="0.25"/>
    <row r="55" spans="4:4" ht="30" customHeight="1" x14ac:dyDescent="0.25"/>
    <row r="56" spans="4:4" ht="30" customHeight="1" x14ac:dyDescent="0.25"/>
    <row r="57" spans="4:4" ht="30" customHeight="1" x14ac:dyDescent="0.25"/>
    <row r="58" spans="4:4" ht="30" customHeight="1" x14ac:dyDescent="0.25"/>
    <row r="59" spans="4:4" ht="30" customHeight="1" x14ac:dyDescent="0.25"/>
    <row r="60" spans="4:4" ht="30" customHeight="1" x14ac:dyDescent="0.25"/>
    <row r="62" spans="4:4" ht="30" customHeight="1" x14ac:dyDescent="0.25">
      <c r="D62" s="359"/>
    </row>
    <row r="63" spans="4:4" ht="30" customHeight="1" x14ac:dyDescent="0.25">
      <c r="D63" s="359"/>
    </row>
    <row r="64" spans="4:4" ht="30" customHeight="1" x14ac:dyDescent="0.25">
      <c r="D64" s="359"/>
    </row>
    <row r="65" spans="4:4" ht="30" customHeight="1" x14ac:dyDescent="0.25"/>
    <row r="66" spans="4:4" ht="30" customHeight="1" x14ac:dyDescent="0.25">
      <c r="D66" s="360"/>
    </row>
    <row r="67" spans="4:4" ht="30" customHeight="1" x14ac:dyDescent="0.25">
      <c r="D67" s="360"/>
    </row>
    <row r="68" spans="4:4" ht="30" customHeight="1" x14ac:dyDescent="0.25">
      <c r="D68" s="360"/>
    </row>
    <row r="69" spans="4:4" ht="30" customHeight="1" x14ac:dyDescent="0.25">
      <c r="D69" s="360"/>
    </row>
    <row r="70" spans="4:4" ht="30" customHeight="1" x14ac:dyDescent="0.25">
      <c r="D70" s="360"/>
    </row>
    <row r="71" spans="4:4" ht="30" customHeight="1" x14ac:dyDescent="0.25">
      <c r="D71" s="360"/>
    </row>
    <row r="72" spans="4:4" ht="30" customHeight="1" x14ac:dyDescent="0.25">
      <c r="D72" s="360"/>
    </row>
    <row r="73" spans="4:4" ht="30" customHeight="1" x14ac:dyDescent="0.25">
      <c r="D73" s="360"/>
    </row>
    <row r="74" spans="4:4" ht="30" customHeight="1" x14ac:dyDescent="0.25">
      <c r="D74" s="359"/>
    </row>
    <row r="75" spans="4:4" ht="30" customHeight="1" x14ac:dyDescent="0.25">
      <c r="D75" s="359"/>
    </row>
    <row r="76" spans="4:4" ht="30" customHeight="1" x14ac:dyDescent="0.25">
      <c r="D76" s="359"/>
    </row>
    <row r="77" spans="4:4" ht="30" customHeight="1" x14ac:dyDescent="0.25">
      <c r="D77" s="359"/>
    </row>
    <row r="78" spans="4:4" ht="30" customHeight="1" x14ac:dyDescent="0.25">
      <c r="D78" s="360"/>
    </row>
    <row r="79" spans="4:4" ht="30" customHeight="1" x14ac:dyDescent="0.25">
      <c r="D79" s="360"/>
    </row>
    <row r="80" spans="4:4" ht="30" customHeight="1" x14ac:dyDescent="0.25">
      <c r="D80" s="360"/>
    </row>
    <row r="81" spans="4:4" ht="30" customHeight="1" x14ac:dyDescent="0.25">
      <c r="D81" s="360"/>
    </row>
    <row r="82" spans="4:4" ht="30" customHeight="1" x14ac:dyDescent="0.25">
      <c r="D82" s="360"/>
    </row>
    <row r="83" spans="4:4" ht="30" customHeight="1" x14ac:dyDescent="0.25">
      <c r="D83" s="360"/>
    </row>
    <row r="84" spans="4:4" ht="30" customHeight="1" x14ac:dyDescent="0.25">
      <c r="D84" s="360"/>
    </row>
    <row r="85" spans="4:4" ht="30" customHeight="1" x14ac:dyDescent="0.25">
      <c r="D85" s="360"/>
    </row>
    <row r="86" spans="4:4" ht="30" customHeight="1" x14ac:dyDescent="0.25"/>
    <row r="87" spans="4:4" ht="30" customHeight="1" x14ac:dyDescent="0.25"/>
    <row r="88" spans="4:4" ht="30" customHeight="1" x14ac:dyDescent="0.25"/>
    <row r="89" spans="4:4" ht="30" customHeight="1" x14ac:dyDescent="0.25"/>
    <row r="90" spans="4:4" ht="30" customHeight="1" x14ac:dyDescent="0.25"/>
    <row r="91" spans="4:4" ht="30" customHeight="1" x14ac:dyDescent="0.25"/>
    <row r="92" spans="4:4" ht="30" customHeight="1" x14ac:dyDescent="0.25"/>
    <row r="93" spans="4:4" ht="30" customHeight="1" x14ac:dyDescent="0.25"/>
    <row r="94" spans="4:4" ht="30" customHeight="1" x14ac:dyDescent="0.25"/>
    <row r="95" spans="4:4" ht="30" customHeight="1" x14ac:dyDescent="0.25"/>
    <row r="96" spans="4:4" ht="30" customHeight="1" x14ac:dyDescent="0.25"/>
    <row r="97" ht="30" customHeight="1" x14ac:dyDescent="0.25"/>
    <row r="98" ht="30" customHeight="1" x14ac:dyDescent="0.25"/>
    <row r="99" ht="30" customHeight="1" x14ac:dyDescent="0.25"/>
    <row r="100" ht="30" customHeight="1" x14ac:dyDescent="0.25"/>
    <row r="101" ht="30" customHeight="1" x14ac:dyDescent="0.25"/>
    <row r="102" ht="30" customHeight="1" x14ac:dyDescent="0.25"/>
    <row r="103" ht="30" customHeight="1" x14ac:dyDescent="0.25"/>
    <row r="104" ht="30" customHeight="1" x14ac:dyDescent="0.25"/>
    <row r="105" ht="30" customHeight="1" x14ac:dyDescent="0.25"/>
    <row r="106" ht="30" customHeight="1" x14ac:dyDescent="0.25"/>
    <row r="107" ht="30" customHeight="1" x14ac:dyDescent="0.25"/>
    <row r="108" ht="30" customHeight="1" x14ac:dyDescent="0.25"/>
    <row r="109" ht="30" customHeight="1" x14ac:dyDescent="0.25"/>
    <row r="110" ht="30" customHeight="1" x14ac:dyDescent="0.25"/>
    <row r="111" ht="30" customHeight="1" x14ac:dyDescent="0.25"/>
    <row r="112" ht="30" customHeight="1" x14ac:dyDescent="0.25"/>
    <row r="113" ht="30" customHeight="1" x14ac:dyDescent="0.25"/>
    <row r="114" ht="30" customHeight="1" x14ac:dyDescent="0.25"/>
    <row r="115" ht="30" customHeight="1" x14ac:dyDescent="0.25"/>
    <row r="116" ht="30" customHeight="1" x14ac:dyDescent="0.25"/>
    <row r="117" ht="30" customHeight="1" x14ac:dyDescent="0.25"/>
    <row r="118" ht="30" customHeight="1" x14ac:dyDescent="0.25"/>
    <row r="119" ht="30" customHeight="1" x14ac:dyDescent="0.25"/>
    <row r="120" ht="30" customHeight="1" x14ac:dyDescent="0.25"/>
    <row r="121" ht="30" customHeight="1" x14ac:dyDescent="0.25"/>
    <row r="122" ht="30" customHeight="1" x14ac:dyDescent="0.25"/>
    <row r="123" ht="30" customHeight="1" x14ac:dyDescent="0.25"/>
    <row r="124" ht="30" customHeight="1" x14ac:dyDescent="0.25"/>
    <row r="125" ht="30" customHeight="1" x14ac:dyDescent="0.25"/>
    <row r="126" ht="30" customHeight="1" x14ac:dyDescent="0.25"/>
    <row r="127" ht="30" customHeight="1" x14ac:dyDescent="0.25"/>
    <row r="128" ht="30" customHeight="1" x14ac:dyDescent="0.25"/>
    <row r="129" ht="30" customHeight="1" x14ac:dyDescent="0.25"/>
    <row r="130" ht="30" customHeight="1" x14ac:dyDescent="0.25"/>
    <row r="131" ht="30" customHeight="1" x14ac:dyDescent="0.25"/>
    <row r="132" ht="30" customHeight="1" x14ac:dyDescent="0.25"/>
    <row r="133" ht="30" customHeight="1" x14ac:dyDescent="0.25"/>
    <row r="134" ht="30" customHeight="1" x14ac:dyDescent="0.25"/>
    <row r="135" ht="30" customHeight="1" x14ac:dyDescent="0.25"/>
    <row r="136" ht="30" customHeight="1" x14ac:dyDescent="0.25"/>
    <row r="137" ht="45" customHeight="1" x14ac:dyDescent="0.25"/>
    <row r="138" ht="30" customHeight="1" x14ac:dyDescent="0.25"/>
    <row r="139" ht="30" customHeight="1" x14ac:dyDescent="0.25"/>
    <row r="140" ht="30" customHeight="1" x14ac:dyDescent="0.25"/>
    <row r="141" ht="30" customHeight="1" x14ac:dyDescent="0.25"/>
    <row r="142" ht="30" customHeight="1" x14ac:dyDescent="0.25"/>
    <row r="143" ht="30" customHeight="1" x14ac:dyDescent="0.25"/>
    <row r="144" ht="30" customHeight="1" x14ac:dyDescent="0.25"/>
    <row r="145" ht="30" customHeight="1" x14ac:dyDescent="0.25"/>
    <row r="146" ht="30" customHeight="1" x14ac:dyDescent="0.25"/>
    <row r="147" ht="30" customHeight="1" x14ac:dyDescent="0.25"/>
    <row r="148" ht="30" customHeight="1" x14ac:dyDescent="0.25"/>
    <row r="149" ht="30" customHeight="1" x14ac:dyDescent="0.25"/>
    <row r="150" ht="30" customHeight="1" x14ac:dyDescent="0.25"/>
    <row r="151" ht="30" customHeight="1" x14ac:dyDescent="0.25"/>
    <row r="152" ht="30" customHeight="1" x14ac:dyDescent="0.25"/>
    <row r="153" ht="30" customHeight="1" x14ac:dyDescent="0.25"/>
    <row r="154" ht="59.25" customHeight="1" x14ac:dyDescent="0.25"/>
  </sheetData>
  <conditionalFormatting sqref="B1:B1048576">
    <cfRule type="cellIs" dxfId="234" priority="4" operator="equal">
      <formula>"Not Needed"</formula>
    </cfRule>
    <cfRule type="cellIs" dxfId="233" priority="5" operator="equal">
      <formula>"Extremely Advantageous"</formula>
    </cfRule>
    <cfRule type="cellIs" dxfId="232" priority="6" operator="equal">
      <formula>"Highly Advantageous"</formula>
    </cfRule>
  </conditionalFormatting>
  <conditionalFormatting sqref="G1:G1048576">
    <cfRule type="cellIs" dxfId="231" priority="2" operator="equal">
      <formula>"Exception"</formula>
    </cfRule>
  </conditionalFormatting>
  <conditionalFormatting sqref="G3:G33">
    <cfRule type="cellIs" dxfId="230" priority="3"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33" xr:uid="{00000000-0002-0000-1400-000000000000}">
      <formula1>SpecType</formula1>
      <formula2>0</formula2>
    </dataValidation>
    <dataValidation type="list" allowBlank="1" showInputMessage="1" showErrorMessage="1" sqref="G3:G33" xr:uid="{00000000-0002-0000-1400-000001000000}">
      <formula1>Availability</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January, 2024 ©&amp;R&amp;"Arial,Bold"&amp;10&amp;P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pageSetUpPr fitToPage="1"/>
  </sheetPr>
  <dimension ref="A1:K125"/>
  <sheetViews>
    <sheetView zoomScale="145" zoomScaleNormal="145" zoomScalePageLayoutView="90" workbookViewId="0">
      <selection activeCell="B2" sqref="B2"/>
    </sheetView>
  </sheetViews>
  <sheetFormatPr defaultColWidth="9" defaultRowHeight="13.8" x14ac:dyDescent="0.25"/>
  <cols>
    <col min="1" max="1" width="12.59765625" style="195" customWidth="1"/>
    <col min="2" max="2" width="14.59765625" style="195" customWidth="1"/>
    <col min="3" max="3" width="65.59765625" style="333" customWidth="1"/>
    <col min="4" max="4" width="65.59765625" style="197" customWidth="1"/>
    <col min="5" max="5" width="10.59765625" style="197" customWidth="1"/>
    <col min="6" max="6" width="6.59765625" style="197" customWidth="1"/>
    <col min="7" max="7" width="30.59765625" style="197" customWidth="1"/>
    <col min="8" max="11" width="8.59765625" style="197" customWidth="1"/>
    <col min="12" max="16384" width="9" style="197"/>
  </cols>
  <sheetData>
    <row r="1" spans="1:11" s="124" customFormat="1" ht="105" customHeight="1" x14ac:dyDescent="0.25">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row>
    <row r="2" spans="1:11" ht="15.6" x14ac:dyDescent="0.3">
      <c r="A2" s="313" t="s">
        <v>534</v>
      </c>
      <c r="B2" s="314"/>
      <c r="C2" s="361"/>
      <c r="D2" s="362"/>
      <c r="E2" s="363"/>
      <c r="F2" s="363"/>
      <c r="G2" s="363"/>
      <c r="H2" s="197">
        <f>COUNTA(B3:B29)</f>
        <v>23</v>
      </c>
      <c r="K2" s="115" t="e">
        <f>SUM(K3:K29)</f>
        <v>#N/A</v>
      </c>
    </row>
    <row r="3" spans="1:11" ht="30" customHeight="1" x14ac:dyDescent="0.3">
      <c r="A3" s="210"/>
      <c r="B3" s="211"/>
      <c r="C3" s="364" t="s">
        <v>535</v>
      </c>
      <c r="D3" s="294"/>
      <c r="E3" s="214"/>
      <c r="F3" s="181"/>
      <c r="G3" s="215"/>
      <c r="H3" s="115">
        <f>COUNTIF(G:G,"=Select from Drop Down List")</f>
        <v>23</v>
      </c>
      <c r="I3" s="116"/>
      <c r="J3" s="207"/>
      <c r="K3" s="116"/>
    </row>
    <row r="4" spans="1:11" ht="41.4" x14ac:dyDescent="0.3">
      <c r="A4" s="216" t="s">
        <v>536</v>
      </c>
      <c r="B4" s="203" t="s">
        <v>262</v>
      </c>
      <c r="C4" s="365" t="s">
        <v>537</v>
      </c>
      <c r="D4" s="295"/>
      <c r="E4" s="219"/>
      <c r="F4" s="187"/>
      <c r="G4" s="296" t="s">
        <v>101</v>
      </c>
      <c r="H4" s="115">
        <f>COUNTIF(G:G,"=Function Available")</f>
        <v>0</v>
      </c>
      <c r="I4" s="116" t="e">
        <f t="shared" ref="I4:I13" si="0">IF(NOT(ISBLANK($B4)),VLOOKUP($B4,specdata,2,FALSE()),"")</f>
        <v>#N/A</v>
      </c>
      <c r="J4" s="207">
        <f t="shared" ref="J4:J13" si="1">VLOOKUP(G4,AvailabilityData,2,FALSE())</f>
        <v>0</v>
      </c>
      <c r="K4" s="116" t="e">
        <f t="shared" ref="K4:K13" si="2">I4*J4</f>
        <v>#N/A</v>
      </c>
    </row>
    <row r="5" spans="1:11" ht="30" customHeight="1" x14ac:dyDescent="0.3">
      <c r="A5" s="216" t="s">
        <v>538</v>
      </c>
      <c r="B5" s="297" t="s">
        <v>262</v>
      </c>
      <c r="C5" s="336" t="s">
        <v>539</v>
      </c>
      <c r="D5" s="298"/>
      <c r="E5" s="205"/>
      <c r="F5" s="137"/>
      <c r="G5" s="299" t="s">
        <v>101</v>
      </c>
      <c r="H5" s="115">
        <f>COUNTIF(F:G,"=Function Not Available")</f>
        <v>0</v>
      </c>
      <c r="I5" s="116" t="e">
        <f t="shared" si="0"/>
        <v>#N/A</v>
      </c>
      <c r="J5" s="207">
        <f t="shared" si="1"/>
        <v>0</v>
      </c>
      <c r="K5" s="116" t="e">
        <f t="shared" si="2"/>
        <v>#N/A</v>
      </c>
    </row>
    <row r="6" spans="1:11" ht="30" customHeight="1" x14ac:dyDescent="0.3">
      <c r="A6" s="216" t="s">
        <v>540</v>
      </c>
      <c r="B6" s="203" t="s">
        <v>262</v>
      </c>
      <c r="C6" s="336" t="s">
        <v>541</v>
      </c>
      <c r="D6" s="298"/>
      <c r="E6" s="205"/>
      <c r="F6" s="137"/>
      <c r="G6" s="299" t="s">
        <v>101</v>
      </c>
      <c r="H6" s="115">
        <f>COUNTIF(G:G,"=Exception")</f>
        <v>0</v>
      </c>
      <c r="I6" s="116" t="e">
        <f t="shared" si="0"/>
        <v>#N/A</v>
      </c>
      <c r="J6" s="207">
        <f t="shared" si="1"/>
        <v>0</v>
      </c>
      <c r="K6" s="116" t="e">
        <f t="shared" si="2"/>
        <v>#N/A</v>
      </c>
    </row>
    <row r="7" spans="1:11" ht="30" customHeight="1" x14ac:dyDescent="0.3">
      <c r="A7" s="216" t="s">
        <v>542</v>
      </c>
      <c r="B7" s="311" t="s">
        <v>262</v>
      </c>
      <c r="C7" s="336" t="s">
        <v>543</v>
      </c>
      <c r="D7" s="298"/>
      <c r="E7" s="205"/>
      <c r="F7" s="137"/>
      <c r="G7" s="299" t="s">
        <v>101</v>
      </c>
      <c r="H7" s="300">
        <f>COUNTIFS(B:B,"=Extremely Advantageous",G:G,"=Select from Drop Down List")</f>
        <v>0</v>
      </c>
      <c r="I7" s="116" t="e">
        <f t="shared" si="0"/>
        <v>#N/A</v>
      </c>
      <c r="J7" s="207">
        <f t="shared" si="1"/>
        <v>0</v>
      </c>
      <c r="K7" s="116" t="e">
        <f t="shared" si="2"/>
        <v>#N/A</v>
      </c>
    </row>
    <row r="8" spans="1:11" ht="27.6" x14ac:dyDescent="0.3">
      <c r="A8" s="216" t="s">
        <v>544</v>
      </c>
      <c r="B8" s="297" t="s">
        <v>262</v>
      </c>
      <c r="C8" s="336" t="s">
        <v>545</v>
      </c>
      <c r="D8" s="298"/>
      <c r="E8" s="205"/>
      <c r="F8" s="137"/>
      <c r="G8" s="303" t="s">
        <v>101</v>
      </c>
      <c r="H8" s="300">
        <f>COUNTIFS(B:B,"=Extremely Advantageous",G:G,"=Function Available")</f>
        <v>0</v>
      </c>
      <c r="I8" s="116" t="e">
        <f t="shared" si="0"/>
        <v>#N/A</v>
      </c>
      <c r="J8" s="207">
        <f t="shared" si="1"/>
        <v>0</v>
      </c>
      <c r="K8" s="116" t="e">
        <f t="shared" si="2"/>
        <v>#N/A</v>
      </c>
    </row>
    <row r="9" spans="1:11" ht="30" customHeight="1" x14ac:dyDescent="0.3">
      <c r="A9" s="216" t="s">
        <v>546</v>
      </c>
      <c r="B9" s="297" t="s">
        <v>262</v>
      </c>
      <c r="C9" s="336" t="s">
        <v>547</v>
      </c>
      <c r="D9" s="298"/>
      <c r="E9" s="205"/>
      <c r="F9" s="137"/>
      <c r="G9" s="303" t="s">
        <v>101</v>
      </c>
      <c r="H9" s="300">
        <f>COUNTIFS(B:B,"=Extremely Advantageous",G:G,"=Function Not Available")</f>
        <v>0</v>
      </c>
      <c r="I9" s="116" t="e">
        <f t="shared" si="0"/>
        <v>#N/A</v>
      </c>
      <c r="J9" s="207">
        <f t="shared" si="1"/>
        <v>0</v>
      </c>
      <c r="K9" s="116" t="e">
        <f t="shared" si="2"/>
        <v>#N/A</v>
      </c>
    </row>
    <row r="10" spans="1:11" ht="30" customHeight="1" x14ac:dyDescent="0.3">
      <c r="A10" s="216" t="s">
        <v>548</v>
      </c>
      <c r="B10" s="297" t="s">
        <v>262</v>
      </c>
      <c r="C10" s="336" t="s">
        <v>549</v>
      </c>
      <c r="D10" s="298"/>
      <c r="E10" s="205"/>
      <c r="F10" s="137"/>
      <c r="G10" s="303" t="s">
        <v>101</v>
      </c>
      <c r="H10" s="300">
        <f>COUNTIFS(B:B,"=Extremely Advantageous",G:G,"=Exception")</f>
        <v>0</v>
      </c>
      <c r="I10" s="116" t="e">
        <f t="shared" si="0"/>
        <v>#N/A</v>
      </c>
      <c r="J10" s="207">
        <f t="shared" si="1"/>
        <v>0</v>
      </c>
      <c r="K10" s="116" t="e">
        <f t="shared" si="2"/>
        <v>#N/A</v>
      </c>
    </row>
    <row r="11" spans="1:11" ht="27.6" x14ac:dyDescent="0.3">
      <c r="A11" s="216" t="s">
        <v>550</v>
      </c>
      <c r="B11" s="297" t="s">
        <v>262</v>
      </c>
      <c r="C11" s="336" t="s">
        <v>551</v>
      </c>
      <c r="D11" s="298"/>
      <c r="E11" s="205"/>
      <c r="F11" s="137"/>
      <c r="G11" s="303" t="s">
        <v>101</v>
      </c>
      <c r="H11" s="304">
        <f>COUNTIFS(B:B,"=Advantageous",G:G,"=Select from Drop Down List")</f>
        <v>23</v>
      </c>
      <c r="I11" s="116" t="e">
        <f t="shared" si="0"/>
        <v>#N/A</v>
      </c>
      <c r="J11" s="207">
        <f t="shared" si="1"/>
        <v>0</v>
      </c>
      <c r="K11" s="116" t="e">
        <f t="shared" si="2"/>
        <v>#N/A</v>
      </c>
    </row>
    <row r="12" spans="1:11" ht="30" customHeight="1" x14ac:dyDescent="0.3">
      <c r="A12" s="216" t="s">
        <v>552</v>
      </c>
      <c r="B12" s="297" t="s">
        <v>262</v>
      </c>
      <c r="C12" s="336" t="s">
        <v>553</v>
      </c>
      <c r="D12" s="298"/>
      <c r="E12" s="205"/>
      <c r="F12" s="137"/>
      <c r="G12" s="303" t="s">
        <v>101</v>
      </c>
      <c r="H12" s="304">
        <f>COUNTIFS(B:B,"=Advantageous",G:G,"=Function Available")</f>
        <v>0</v>
      </c>
      <c r="I12" s="116" t="e">
        <f t="shared" si="0"/>
        <v>#N/A</v>
      </c>
      <c r="J12" s="207">
        <f t="shared" si="1"/>
        <v>0</v>
      </c>
      <c r="K12" s="116" t="e">
        <f t="shared" si="2"/>
        <v>#N/A</v>
      </c>
    </row>
    <row r="13" spans="1:11" ht="30" customHeight="1" x14ac:dyDescent="0.3">
      <c r="A13" s="216" t="s">
        <v>554</v>
      </c>
      <c r="B13" s="311" t="s">
        <v>262</v>
      </c>
      <c r="C13" s="337" t="s">
        <v>555</v>
      </c>
      <c r="D13" s="292"/>
      <c r="E13" s="224"/>
      <c r="F13" s="176"/>
      <c r="G13" s="293" t="s">
        <v>101</v>
      </c>
      <c r="H13" s="304">
        <f>COUNTIFS(B:B,"=Advantageous",G:G,"=Function Not Available")</f>
        <v>0</v>
      </c>
      <c r="I13" s="116" t="e">
        <f t="shared" si="0"/>
        <v>#N/A</v>
      </c>
      <c r="J13" s="207">
        <f t="shared" si="1"/>
        <v>0</v>
      </c>
      <c r="K13" s="116" t="e">
        <f t="shared" si="2"/>
        <v>#N/A</v>
      </c>
    </row>
    <row r="14" spans="1:11" ht="15.6" x14ac:dyDescent="0.3">
      <c r="A14" s="210"/>
      <c r="B14" s="211"/>
      <c r="C14" s="364" t="s">
        <v>168</v>
      </c>
      <c r="D14" s="294"/>
      <c r="E14" s="214"/>
      <c r="F14" s="181"/>
      <c r="G14" s="215"/>
      <c r="H14" s="304">
        <f>COUNTIFS(B:B,"=Advantageous",G:G,"=Exception")</f>
        <v>0</v>
      </c>
      <c r="I14" s="116"/>
      <c r="J14" s="207"/>
      <c r="K14" s="116"/>
    </row>
    <row r="15" spans="1:11" ht="30" customHeight="1" x14ac:dyDescent="0.3">
      <c r="A15" s="216" t="s">
        <v>556</v>
      </c>
      <c r="B15" s="203" t="s">
        <v>262</v>
      </c>
      <c r="C15" s="365" t="s">
        <v>185</v>
      </c>
      <c r="D15" s="295"/>
      <c r="E15" s="219"/>
      <c r="F15" s="187"/>
      <c r="G15" s="296" t="s">
        <v>101</v>
      </c>
      <c r="H15" s="257">
        <f>COUNTIFS(B:B,"=Minimal",G:G,"=Select from Drop Down List")</f>
        <v>0</v>
      </c>
      <c r="I15" s="116" t="e">
        <f t="shared" ref="I15:I20" si="3">IF(NOT(ISBLANK($B15)),VLOOKUP($B15,specdata,2,FALSE()),"")</f>
        <v>#N/A</v>
      </c>
      <c r="J15" s="207">
        <f t="shared" ref="J15:J20" si="4">VLOOKUP(G15,AvailabilityData,2,FALSE())</f>
        <v>0</v>
      </c>
      <c r="K15" s="116" t="e">
        <f t="shared" ref="K15:K20" si="5">I15*J15</f>
        <v>#N/A</v>
      </c>
    </row>
    <row r="16" spans="1:11" ht="30" customHeight="1" x14ac:dyDescent="0.3">
      <c r="A16" s="216" t="s">
        <v>557</v>
      </c>
      <c r="B16" s="297" t="s">
        <v>262</v>
      </c>
      <c r="C16" s="221" t="s">
        <v>170</v>
      </c>
      <c r="D16" s="298"/>
      <c r="E16" s="205"/>
      <c r="F16" s="137"/>
      <c r="G16" s="299" t="s">
        <v>101</v>
      </c>
      <c r="H16" s="257">
        <f>COUNTIFS(B:B,"=Minimal",G:G,"=Function Available")</f>
        <v>0</v>
      </c>
      <c r="I16" s="116" t="e">
        <f t="shared" si="3"/>
        <v>#N/A</v>
      </c>
      <c r="J16" s="207">
        <f t="shared" si="4"/>
        <v>0</v>
      </c>
      <c r="K16" s="116" t="e">
        <f t="shared" si="5"/>
        <v>#N/A</v>
      </c>
    </row>
    <row r="17" spans="1:11" ht="30" customHeight="1" x14ac:dyDescent="0.3">
      <c r="A17" s="216" t="s">
        <v>558</v>
      </c>
      <c r="B17" s="297" t="s">
        <v>262</v>
      </c>
      <c r="C17" s="221" t="s">
        <v>171</v>
      </c>
      <c r="D17" s="298"/>
      <c r="E17" s="205"/>
      <c r="F17" s="137"/>
      <c r="G17" s="293" t="s">
        <v>101</v>
      </c>
      <c r="H17" s="257">
        <f>COUNTIFS(B:B,"=Minimal",G:G,"=Function Not Available")</f>
        <v>0</v>
      </c>
      <c r="I17" s="116" t="e">
        <f t="shared" si="3"/>
        <v>#N/A</v>
      </c>
      <c r="J17" s="207">
        <f t="shared" si="4"/>
        <v>0</v>
      </c>
      <c r="K17" s="116" t="e">
        <f t="shared" si="5"/>
        <v>#N/A</v>
      </c>
    </row>
    <row r="18" spans="1:11" ht="30" customHeight="1" x14ac:dyDescent="0.3">
      <c r="A18" s="216" t="s">
        <v>559</v>
      </c>
      <c r="B18" s="297" t="s">
        <v>262</v>
      </c>
      <c r="C18" s="221" t="s">
        <v>172</v>
      </c>
      <c r="D18" s="298"/>
      <c r="E18" s="205"/>
      <c r="F18" s="137"/>
      <c r="G18" s="293" t="s">
        <v>101</v>
      </c>
      <c r="H18" s="257">
        <f>COUNTIFS(B:B,"=Minimal",G:G,"=Exception")</f>
        <v>0</v>
      </c>
      <c r="I18" s="116" t="e">
        <f t="shared" si="3"/>
        <v>#N/A</v>
      </c>
      <c r="J18" s="207">
        <f t="shared" si="4"/>
        <v>0</v>
      </c>
      <c r="K18" s="116" t="e">
        <f t="shared" si="5"/>
        <v>#N/A</v>
      </c>
    </row>
    <row r="19" spans="1:11" ht="30" customHeight="1" x14ac:dyDescent="0.3">
      <c r="A19" s="216" t="s">
        <v>560</v>
      </c>
      <c r="B19" s="297" t="s">
        <v>262</v>
      </c>
      <c r="C19" s="221" t="s">
        <v>173</v>
      </c>
      <c r="D19" s="298"/>
      <c r="E19" s="205"/>
      <c r="F19" s="137"/>
      <c r="G19" s="293" t="s">
        <v>101</v>
      </c>
      <c r="I19" s="116" t="e">
        <f t="shared" si="3"/>
        <v>#N/A</v>
      </c>
      <c r="J19" s="207">
        <f t="shared" si="4"/>
        <v>0</v>
      </c>
      <c r="K19" s="116" t="e">
        <f t="shared" si="5"/>
        <v>#N/A</v>
      </c>
    </row>
    <row r="20" spans="1:11" ht="15.6" x14ac:dyDescent="0.3">
      <c r="A20" s="216" t="s">
        <v>561</v>
      </c>
      <c r="B20" s="290" t="s">
        <v>262</v>
      </c>
      <c r="C20" s="337" t="s">
        <v>207</v>
      </c>
      <c r="D20" s="292"/>
      <c r="E20" s="224"/>
      <c r="F20" s="176"/>
      <c r="G20" s="293" t="s">
        <v>101</v>
      </c>
      <c r="I20" s="116" t="e">
        <f t="shared" si="3"/>
        <v>#N/A</v>
      </c>
      <c r="J20" s="207">
        <f t="shared" si="4"/>
        <v>0</v>
      </c>
      <c r="K20" s="116" t="e">
        <f t="shared" si="5"/>
        <v>#N/A</v>
      </c>
    </row>
    <row r="21" spans="1:11" ht="15.6" x14ac:dyDescent="0.3">
      <c r="A21" s="210"/>
      <c r="B21" s="211"/>
      <c r="C21" s="364" t="s">
        <v>165</v>
      </c>
      <c r="D21" s="294"/>
      <c r="E21" s="214"/>
      <c r="F21" s="181"/>
      <c r="G21" s="215"/>
      <c r="I21" s="116"/>
      <c r="J21" s="207"/>
      <c r="K21" s="116"/>
    </row>
    <row r="22" spans="1:11" ht="30" customHeight="1" x14ac:dyDescent="0.3">
      <c r="A22" s="216" t="s">
        <v>562</v>
      </c>
      <c r="B22" s="203" t="s">
        <v>262</v>
      </c>
      <c r="C22" s="365" t="s">
        <v>208</v>
      </c>
      <c r="D22" s="295"/>
      <c r="E22" s="219"/>
      <c r="F22" s="187"/>
      <c r="G22" s="341" t="s">
        <v>101</v>
      </c>
      <c r="I22" s="116" t="e">
        <f>IF(NOT(ISBLANK($B22)),VLOOKUP($B22,specdata,2,FALSE()),"")</f>
        <v>#N/A</v>
      </c>
      <c r="J22" s="207">
        <f>VLOOKUP(G22,AvailabilityData,2,FALSE())</f>
        <v>0</v>
      </c>
      <c r="K22" s="116" t="e">
        <f>I22*J22</f>
        <v>#N/A</v>
      </c>
    </row>
    <row r="23" spans="1:11" ht="30" customHeight="1" x14ac:dyDescent="0.3">
      <c r="A23" s="216" t="s">
        <v>563</v>
      </c>
      <c r="B23" s="297" t="s">
        <v>262</v>
      </c>
      <c r="C23" s="336" t="s">
        <v>209</v>
      </c>
      <c r="D23" s="298"/>
      <c r="E23" s="205"/>
      <c r="F23" s="137"/>
      <c r="G23" s="293" t="s">
        <v>101</v>
      </c>
      <c r="I23" s="116" t="e">
        <f>IF(NOT(ISBLANK($B23)),VLOOKUP($B23,specdata,2,FALSE()),"")</f>
        <v>#N/A</v>
      </c>
      <c r="J23" s="207">
        <f>VLOOKUP(G23,AvailabilityData,2,FALSE())</f>
        <v>0</v>
      </c>
      <c r="K23" s="116" t="e">
        <f>I23*J23</f>
        <v>#N/A</v>
      </c>
    </row>
    <row r="24" spans="1:11" ht="30" customHeight="1" x14ac:dyDescent="0.3">
      <c r="A24" s="216" t="s">
        <v>564</v>
      </c>
      <c r="B24" s="297" t="s">
        <v>262</v>
      </c>
      <c r="C24" s="336" t="s">
        <v>210</v>
      </c>
      <c r="D24" s="298"/>
      <c r="E24" s="205"/>
      <c r="F24" s="137"/>
      <c r="G24" s="293" t="s">
        <v>101</v>
      </c>
      <c r="I24" s="116" t="e">
        <f>IF(NOT(ISBLANK($B24)),VLOOKUP($B24,specdata,2,FALSE()),"")</f>
        <v>#N/A</v>
      </c>
      <c r="J24" s="207">
        <f>VLOOKUP(G24,AvailabilityData,2,FALSE())</f>
        <v>0</v>
      </c>
      <c r="K24" s="116" t="e">
        <f>I24*J24</f>
        <v>#N/A</v>
      </c>
    </row>
    <row r="25" spans="1:11" ht="30" customHeight="1" x14ac:dyDescent="0.3">
      <c r="A25" s="216" t="s">
        <v>565</v>
      </c>
      <c r="B25" s="290" t="s">
        <v>262</v>
      </c>
      <c r="C25" s="337" t="s">
        <v>211</v>
      </c>
      <c r="D25" s="292"/>
      <c r="E25" s="224"/>
      <c r="F25" s="176"/>
      <c r="G25" s="293" t="s">
        <v>101</v>
      </c>
      <c r="I25" s="116" t="e">
        <f>IF(NOT(ISBLANK($B25)),VLOOKUP($B25,specdata,2,FALSE()),"")</f>
        <v>#N/A</v>
      </c>
      <c r="J25" s="207">
        <f>VLOOKUP(G25,AvailabilityData,2,FALSE())</f>
        <v>0</v>
      </c>
      <c r="K25" s="116" t="e">
        <f>I25*J25</f>
        <v>#N/A</v>
      </c>
    </row>
    <row r="26" spans="1:11" ht="15.6" x14ac:dyDescent="0.3">
      <c r="A26" s="210"/>
      <c r="B26" s="211"/>
      <c r="C26" s="364" t="s">
        <v>174</v>
      </c>
      <c r="D26" s="294"/>
      <c r="E26" s="214"/>
      <c r="F26" s="181"/>
      <c r="G26" s="215"/>
      <c r="I26" s="116"/>
      <c r="J26" s="207"/>
      <c r="K26" s="116"/>
    </row>
    <row r="27" spans="1:11" ht="30" customHeight="1" x14ac:dyDescent="0.3">
      <c r="A27" s="216" t="s">
        <v>566</v>
      </c>
      <c r="B27" s="203" t="s">
        <v>262</v>
      </c>
      <c r="C27" s="365" t="s">
        <v>567</v>
      </c>
      <c r="D27" s="295"/>
      <c r="E27" s="219"/>
      <c r="F27" s="187"/>
      <c r="G27" s="341" t="s">
        <v>101</v>
      </c>
      <c r="I27" s="116" t="e">
        <f>IF(NOT(ISBLANK($B27)),VLOOKUP($B27,specdata,2,FALSE()),"")</f>
        <v>#N/A</v>
      </c>
      <c r="J27" s="207">
        <f>VLOOKUP(G27,AvailabilityData,2,FALSE())</f>
        <v>0</v>
      </c>
      <c r="K27" s="116" t="e">
        <f>I27*J27</f>
        <v>#N/A</v>
      </c>
    </row>
    <row r="28" spans="1:11" ht="41.4" x14ac:dyDescent="0.3">
      <c r="A28" s="216" t="s">
        <v>568</v>
      </c>
      <c r="B28" s="203" t="s">
        <v>262</v>
      </c>
      <c r="C28" s="336" t="s">
        <v>193</v>
      </c>
      <c r="D28" s="298"/>
      <c r="E28" s="205"/>
      <c r="F28" s="137"/>
      <c r="G28" s="299" t="s">
        <v>101</v>
      </c>
      <c r="I28" s="116" t="e">
        <f>IF(NOT(ISBLANK($B28)),VLOOKUP($B28,specdata,2,FALSE()),"")</f>
        <v>#N/A</v>
      </c>
      <c r="J28" s="207">
        <f>VLOOKUP(G28,AvailabilityData,2,FALSE())</f>
        <v>0</v>
      </c>
      <c r="K28" s="116" t="e">
        <f>I28*J28</f>
        <v>#N/A</v>
      </c>
    </row>
    <row r="29" spans="1:11" ht="30" customHeight="1" x14ac:dyDescent="0.3">
      <c r="A29" s="216" t="s">
        <v>569</v>
      </c>
      <c r="B29" s="203" t="s">
        <v>262</v>
      </c>
      <c r="C29" s="336" t="s">
        <v>570</v>
      </c>
      <c r="D29" s="298"/>
      <c r="E29" s="205"/>
      <c r="F29" s="137"/>
      <c r="G29" s="299" t="s">
        <v>101</v>
      </c>
      <c r="I29" s="116" t="e">
        <f>IF(NOT(ISBLANK($B29)),VLOOKUP($B29,specdata,2,FALSE()),"")</f>
        <v>#N/A</v>
      </c>
      <c r="J29" s="207">
        <f>VLOOKUP(G29,AvailabilityData,2,FALSE())</f>
        <v>0</v>
      </c>
      <c r="K29" s="116" t="e">
        <f>I29*J29</f>
        <v>#N/A</v>
      </c>
    </row>
    <row r="30" spans="1:11" ht="30" customHeight="1" x14ac:dyDescent="0.25"/>
    <row r="31" spans="1:11" ht="30" customHeight="1" x14ac:dyDescent="0.25"/>
    <row r="33" spans="4:4" ht="30" customHeight="1" x14ac:dyDescent="0.25">
      <c r="D33" s="359"/>
    </row>
    <row r="34" spans="4:4" ht="30" customHeight="1" x14ac:dyDescent="0.25">
      <c r="D34" s="359"/>
    </row>
    <row r="35" spans="4:4" ht="30" customHeight="1" x14ac:dyDescent="0.25">
      <c r="D35" s="359"/>
    </row>
    <row r="36" spans="4:4" ht="30" customHeight="1" x14ac:dyDescent="0.25"/>
    <row r="37" spans="4:4" ht="30" customHeight="1" x14ac:dyDescent="0.25">
      <c r="D37" s="360"/>
    </row>
    <row r="38" spans="4:4" ht="30" customHeight="1" x14ac:dyDescent="0.25">
      <c r="D38" s="360"/>
    </row>
    <row r="39" spans="4:4" ht="30" customHeight="1" x14ac:dyDescent="0.25">
      <c r="D39" s="360"/>
    </row>
    <row r="40" spans="4:4" ht="30" customHeight="1" x14ac:dyDescent="0.25">
      <c r="D40" s="360"/>
    </row>
    <row r="41" spans="4:4" ht="30" customHeight="1" x14ac:dyDescent="0.25">
      <c r="D41" s="360"/>
    </row>
    <row r="42" spans="4:4" ht="30" customHeight="1" x14ac:dyDescent="0.25">
      <c r="D42" s="360"/>
    </row>
    <row r="43" spans="4:4" ht="30" customHeight="1" x14ac:dyDescent="0.25">
      <c r="D43" s="360"/>
    </row>
    <row r="44" spans="4:4" ht="30" customHeight="1" x14ac:dyDescent="0.25">
      <c r="D44" s="360"/>
    </row>
    <row r="45" spans="4:4" ht="30" customHeight="1" x14ac:dyDescent="0.25">
      <c r="D45" s="359"/>
    </row>
    <row r="46" spans="4:4" ht="30" customHeight="1" x14ac:dyDescent="0.25">
      <c r="D46" s="359"/>
    </row>
    <row r="47" spans="4:4" ht="30" customHeight="1" x14ac:dyDescent="0.25">
      <c r="D47" s="359"/>
    </row>
    <row r="48" spans="4:4" ht="30" customHeight="1" x14ac:dyDescent="0.25">
      <c r="D48" s="359"/>
    </row>
    <row r="49" spans="4:4" ht="30" customHeight="1" x14ac:dyDescent="0.25">
      <c r="D49" s="360"/>
    </row>
    <row r="50" spans="4:4" ht="30" customHeight="1" x14ac:dyDescent="0.25">
      <c r="D50" s="360"/>
    </row>
    <row r="51" spans="4:4" ht="30" customHeight="1" x14ac:dyDescent="0.25">
      <c r="D51" s="360"/>
    </row>
    <row r="52" spans="4:4" ht="30" customHeight="1" x14ac:dyDescent="0.25">
      <c r="D52" s="360"/>
    </row>
    <row r="53" spans="4:4" ht="30" customHeight="1" x14ac:dyDescent="0.25">
      <c r="D53" s="360"/>
    </row>
    <row r="54" spans="4:4" ht="30" customHeight="1" x14ac:dyDescent="0.25">
      <c r="D54" s="360"/>
    </row>
    <row r="55" spans="4:4" ht="30" customHeight="1" x14ac:dyDescent="0.25">
      <c r="D55" s="360"/>
    </row>
    <row r="56" spans="4:4" ht="30" customHeight="1" x14ac:dyDescent="0.25">
      <c r="D56" s="360"/>
    </row>
    <row r="57" spans="4:4" ht="30" customHeight="1" x14ac:dyDescent="0.25"/>
    <row r="58" spans="4:4" ht="30" customHeight="1" x14ac:dyDescent="0.25"/>
    <row r="59" spans="4:4" ht="30" customHeight="1" x14ac:dyDescent="0.25"/>
    <row r="60" spans="4:4" ht="30" customHeight="1" x14ac:dyDescent="0.25"/>
    <row r="61" spans="4:4" ht="30" customHeight="1" x14ac:dyDescent="0.25"/>
    <row r="62" spans="4:4" ht="30" customHeight="1" x14ac:dyDescent="0.25"/>
    <row r="63" spans="4:4" ht="30" customHeight="1" x14ac:dyDescent="0.25"/>
    <row r="64" spans="4:4" ht="30" customHeight="1" x14ac:dyDescent="0.25"/>
    <row r="65" ht="30" customHeight="1" x14ac:dyDescent="0.25"/>
    <row r="66" ht="30" customHeight="1" x14ac:dyDescent="0.25"/>
    <row r="67" ht="30" customHeight="1" x14ac:dyDescent="0.25"/>
    <row r="68" ht="30" customHeight="1" x14ac:dyDescent="0.25"/>
    <row r="69" ht="30" customHeight="1" x14ac:dyDescent="0.25"/>
    <row r="70" ht="30" customHeight="1" x14ac:dyDescent="0.25"/>
    <row r="71" ht="30" customHeight="1" x14ac:dyDescent="0.25"/>
    <row r="72" ht="30" customHeight="1" x14ac:dyDescent="0.25"/>
    <row r="73" ht="30" customHeight="1" x14ac:dyDescent="0.25"/>
    <row r="74" ht="30" customHeight="1" x14ac:dyDescent="0.25"/>
    <row r="75" ht="30" customHeight="1" x14ac:dyDescent="0.25"/>
    <row r="76" ht="30" customHeight="1" x14ac:dyDescent="0.25"/>
    <row r="77" ht="30" customHeight="1" x14ac:dyDescent="0.25"/>
    <row r="78" ht="30" customHeight="1" x14ac:dyDescent="0.25"/>
    <row r="79" ht="30" customHeight="1" x14ac:dyDescent="0.25"/>
    <row r="80"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row r="91" ht="30" customHeight="1" x14ac:dyDescent="0.25"/>
    <row r="92" ht="30" customHeight="1" x14ac:dyDescent="0.25"/>
    <row r="93" ht="30" customHeight="1" x14ac:dyDescent="0.25"/>
    <row r="94" ht="30" customHeight="1" x14ac:dyDescent="0.25"/>
    <row r="95" ht="30" customHeight="1" x14ac:dyDescent="0.25"/>
    <row r="96" ht="30" customHeight="1" x14ac:dyDescent="0.25"/>
    <row r="97" ht="30" customHeight="1" x14ac:dyDescent="0.25"/>
    <row r="98" ht="30" customHeight="1" x14ac:dyDescent="0.25"/>
    <row r="99" ht="30" customHeight="1" x14ac:dyDescent="0.25"/>
    <row r="100" ht="30" customHeight="1" x14ac:dyDescent="0.25"/>
    <row r="101" ht="30" customHeight="1" x14ac:dyDescent="0.25"/>
    <row r="102" ht="30" customHeight="1" x14ac:dyDescent="0.25"/>
    <row r="103" ht="30" customHeight="1" x14ac:dyDescent="0.25"/>
    <row r="104" ht="30" customHeight="1" x14ac:dyDescent="0.25"/>
    <row r="105" ht="30" customHeight="1" x14ac:dyDescent="0.25"/>
    <row r="106" ht="30" customHeight="1" x14ac:dyDescent="0.25"/>
    <row r="107" ht="30" customHeight="1" x14ac:dyDescent="0.25"/>
    <row r="108" ht="45" customHeight="1" x14ac:dyDescent="0.25"/>
    <row r="109" ht="30" customHeight="1" x14ac:dyDescent="0.25"/>
    <row r="110" ht="30" customHeight="1" x14ac:dyDescent="0.25"/>
    <row r="111" ht="30" customHeight="1" x14ac:dyDescent="0.25"/>
    <row r="112" ht="30" customHeight="1" x14ac:dyDescent="0.25"/>
    <row r="113" ht="30" customHeight="1" x14ac:dyDescent="0.25"/>
    <row r="114" ht="30" customHeight="1" x14ac:dyDescent="0.25"/>
    <row r="115" ht="30" customHeight="1" x14ac:dyDescent="0.25"/>
    <row r="116" ht="30" customHeight="1" x14ac:dyDescent="0.25"/>
    <row r="117" ht="30" customHeight="1" x14ac:dyDescent="0.25"/>
    <row r="118" ht="30" customHeight="1" x14ac:dyDescent="0.25"/>
    <row r="119" ht="30" customHeight="1" x14ac:dyDescent="0.25"/>
    <row r="120" ht="30" customHeight="1" x14ac:dyDescent="0.25"/>
    <row r="121" ht="30" customHeight="1" x14ac:dyDescent="0.25"/>
    <row r="122" ht="30" customHeight="1" x14ac:dyDescent="0.25"/>
    <row r="123" ht="30" customHeight="1" x14ac:dyDescent="0.25"/>
    <row r="124" ht="30" customHeight="1" x14ac:dyDescent="0.25"/>
    <row r="125" ht="59.25" customHeight="1" x14ac:dyDescent="0.25"/>
  </sheetData>
  <conditionalFormatting sqref="B1:B1048576">
    <cfRule type="cellIs" dxfId="229" priority="4" operator="equal">
      <formula>"Not Needed"</formula>
    </cfRule>
    <cfRule type="cellIs" dxfId="228" priority="5" operator="equal">
      <formula>"Highly Advantageous"</formula>
    </cfRule>
    <cfRule type="cellIs" dxfId="227" priority="6" operator="equal">
      <formula>"Extremely Advantageous"</formula>
    </cfRule>
  </conditionalFormatting>
  <conditionalFormatting sqref="G1:G1048576">
    <cfRule type="cellIs" dxfId="226" priority="2" operator="equal">
      <formula>"Exception"</formula>
    </cfRule>
  </conditionalFormatting>
  <conditionalFormatting sqref="G3:G29">
    <cfRule type="cellIs" dxfId="225" priority="3"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29" xr:uid="{00000000-0002-0000-1500-000000000000}">
      <formula1>SpecType</formula1>
      <formula2>0</formula2>
    </dataValidation>
    <dataValidation type="list" allowBlank="1" showInputMessage="1" showErrorMessage="1" sqref="G3:G29" xr:uid="{00000000-0002-0000-1500-000001000000}">
      <formula1>Availability</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January, 2024 ©&amp;R&amp;"Arial,Bold"&amp;10&amp;P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Q173"/>
  <sheetViews>
    <sheetView showGridLines="0" zoomScaleNormal="100" workbookViewId="0">
      <selection activeCell="B32" sqref="B14:B32"/>
    </sheetView>
  </sheetViews>
  <sheetFormatPr defaultColWidth="8" defaultRowHeight="13.2" x14ac:dyDescent="0.25"/>
  <cols>
    <col min="1" max="1" width="12.59765625" style="2" customWidth="1"/>
    <col min="2" max="2" width="25.59765625" style="3" customWidth="1"/>
    <col min="3" max="3" width="15.59765625" style="4" customWidth="1"/>
    <col min="4" max="8" width="15.59765625" style="5" customWidth="1"/>
    <col min="9" max="9" width="14.69921875" style="5" customWidth="1"/>
    <col min="10" max="10" width="8.3984375" style="6" customWidth="1"/>
    <col min="11" max="11" width="16.3984375" style="6" customWidth="1"/>
    <col min="12" max="13" width="9" style="6" customWidth="1"/>
    <col min="14" max="16" width="8" style="6"/>
    <col min="17" max="17" width="18.59765625" style="6" customWidth="1"/>
    <col min="18" max="256" width="8" style="6"/>
    <col min="257" max="257" width="11.69921875" style="6" customWidth="1"/>
    <col min="258" max="258" width="24.5" style="6" customWidth="1"/>
    <col min="259" max="265" width="13.69921875" style="6" customWidth="1"/>
    <col min="266" max="266" width="19.09765625" style="6" customWidth="1"/>
    <col min="267" max="512" width="8" style="6"/>
    <col min="513" max="513" width="11.69921875" style="6" customWidth="1"/>
    <col min="514" max="514" width="24.5" style="6" customWidth="1"/>
    <col min="515" max="521" width="13.69921875" style="6" customWidth="1"/>
    <col min="522" max="522" width="19.09765625" style="6" customWidth="1"/>
    <col min="523" max="768" width="8" style="6"/>
    <col min="769" max="769" width="11.69921875" style="6" customWidth="1"/>
    <col min="770" max="770" width="24.5" style="6" customWidth="1"/>
    <col min="771" max="777" width="13.69921875" style="6" customWidth="1"/>
    <col min="778" max="778" width="19.09765625" style="6" customWidth="1"/>
    <col min="779" max="1024" width="9" style="6" customWidth="1"/>
    <col min="1025" max="1025" width="11.69921875" style="6" customWidth="1"/>
    <col min="1026" max="1026" width="24.5" style="6" customWidth="1"/>
    <col min="1027" max="1033" width="13.69921875" style="6" customWidth="1"/>
    <col min="1034" max="1034" width="19.09765625" style="6" customWidth="1"/>
    <col min="1035" max="1280" width="8" style="6"/>
    <col min="1281" max="1281" width="11.69921875" style="6" customWidth="1"/>
    <col min="1282" max="1282" width="24.5" style="6" customWidth="1"/>
    <col min="1283" max="1289" width="13.69921875" style="6" customWidth="1"/>
    <col min="1290" max="1290" width="19.09765625" style="6" customWidth="1"/>
    <col min="1291" max="1536" width="8" style="6"/>
    <col min="1537" max="1537" width="11.69921875" style="6" customWidth="1"/>
    <col min="1538" max="1538" width="24.5" style="6" customWidth="1"/>
    <col min="1539" max="1545" width="13.69921875" style="6" customWidth="1"/>
    <col min="1546" max="1546" width="19.09765625" style="6" customWidth="1"/>
    <col min="1547" max="1792" width="8" style="6"/>
    <col min="1793" max="1793" width="11.69921875" style="6" customWidth="1"/>
    <col min="1794" max="1794" width="24.5" style="6" customWidth="1"/>
    <col min="1795" max="1801" width="13.69921875" style="6" customWidth="1"/>
    <col min="1802" max="1802" width="19.09765625" style="6" customWidth="1"/>
    <col min="1803" max="2048" width="9" style="6" customWidth="1"/>
    <col min="2049" max="2049" width="11.69921875" style="6" customWidth="1"/>
    <col min="2050" max="2050" width="24.5" style="6" customWidth="1"/>
    <col min="2051" max="2057" width="13.69921875" style="6" customWidth="1"/>
    <col min="2058" max="2058" width="19.09765625" style="6" customWidth="1"/>
    <col min="2059" max="2304" width="8" style="6"/>
    <col min="2305" max="2305" width="11.69921875" style="6" customWidth="1"/>
    <col min="2306" max="2306" width="24.5" style="6" customWidth="1"/>
    <col min="2307" max="2313" width="13.69921875" style="6" customWidth="1"/>
    <col min="2314" max="2314" width="19.09765625" style="6" customWidth="1"/>
    <col min="2315" max="2560" width="8" style="6"/>
    <col min="2561" max="2561" width="11.69921875" style="6" customWidth="1"/>
    <col min="2562" max="2562" width="24.5" style="6" customWidth="1"/>
    <col min="2563" max="2569" width="13.69921875" style="6" customWidth="1"/>
    <col min="2570" max="2570" width="19.09765625" style="6" customWidth="1"/>
    <col min="2571" max="2816" width="8" style="6"/>
    <col min="2817" max="2817" width="11.69921875" style="6" customWidth="1"/>
    <col min="2818" max="2818" width="24.5" style="6" customWidth="1"/>
    <col min="2819" max="2825" width="13.69921875" style="6" customWidth="1"/>
    <col min="2826" max="2826" width="19.09765625" style="6" customWidth="1"/>
    <col min="2827" max="3072" width="9" style="6" customWidth="1"/>
    <col min="3073" max="3073" width="11.69921875" style="6" customWidth="1"/>
    <col min="3074" max="3074" width="24.5" style="6" customWidth="1"/>
    <col min="3075" max="3081" width="13.69921875" style="6" customWidth="1"/>
    <col min="3082" max="3082" width="19.09765625" style="6" customWidth="1"/>
    <col min="3083" max="3328" width="8" style="6"/>
    <col min="3329" max="3329" width="11.69921875" style="6" customWidth="1"/>
    <col min="3330" max="3330" width="24.5" style="6" customWidth="1"/>
    <col min="3331" max="3337" width="13.69921875" style="6" customWidth="1"/>
    <col min="3338" max="3338" width="19.09765625" style="6" customWidth="1"/>
    <col min="3339" max="3584" width="8" style="6"/>
    <col min="3585" max="3585" width="11.69921875" style="6" customWidth="1"/>
    <col min="3586" max="3586" width="24.5" style="6" customWidth="1"/>
    <col min="3587" max="3593" width="13.69921875" style="6" customWidth="1"/>
    <col min="3594" max="3594" width="19.09765625" style="6" customWidth="1"/>
    <col min="3595" max="3840" width="8" style="6"/>
    <col min="3841" max="3841" width="11.69921875" style="6" customWidth="1"/>
    <col min="3842" max="3842" width="24.5" style="6" customWidth="1"/>
    <col min="3843" max="3849" width="13.69921875" style="6" customWidth="1"/>
    <col min="3850" max="3850" width="19.09765625" style="6" customWidth="1"/>
    <col min="3851" max="4096" width="9" style="6" customWidth="1"/>
    <col min="4097" max="4097" width="11.69921875" style="6" customWidth="1"/>
    <col min="4098" max="4098" width="24.5" style="6" customWidth="1"/>
    <col min="4099" max="4105" width="13.69921875" style="6" customWidth="1"/>
    <col min="4106" max="4106" width="19.09765625" style="6" customWidth="1"/>
    <col min="4107" max="4352" width="8" style="6"/>
    <col min="4353" max="4353" width="11.69921875" style="6" customWidth="1"/>
    <col min="4354" max="4354" width="24.5" style="6" customWidth="1"/>
    <col min="4355" max="4361" width="13.69921875" style="6" customWidth="1"/>
    <col min="4362" max="4362" width="19.09765625" style="6" customWidth="1"/>
    <col min="4363" max="4608" width="8" style="6"/>
    <col min="4609" max="4609" width="11.69921875" style="6" customWidth="1"/>
    <col min="4610" max="4610" width="24.5" style="6" customWidth="1"/>
    <col min="4611" max="4617" width="13.69921875" style="6" customWidth="1"/>
    <col min="4618" max="4618" width="19.09765625" style="6" customWidth="1"/>
    <col min="4619" max="4864" width="8" style="6"/>
    <col min="4865" max="4865" width="11.69921875" style="6" customWidth="1"/>
    <col min="4866" max="4866" width="24.5" style="6" customWidth="1"/>
    <col min="4867" max="4873" width="13.69921875" style="6" customWidth="1"/>
    <col min="4874" max="4874" width="19.09765625" style="6" customWidth="1"/>
    <col min="4875" max="5120" width="9" style="6" customWidth="1"/>
    <col min="5121" max="5121" width="11.69921875" style="6" customWidth="1"/>
    <col min="5122" max="5122" width="24.5" style="6" customWidth="1"/>
    <col min="5123" max="5129" width="13.69921875" style="6" customWidth="1"/>
    <col min="5130" max="5130" width="19.09765625" style="6" customWidth="1"/>
    <col min="5131" max="5376" width="8" style="6"/>
    <col min="5377" max="5377" width="11.69921875" style="6" customWidth="1"/>
    <col min="5378" max="5378" width="24.5" style="6" customWidth="1"/>
    <col min="5379" max="5385" width="13.69921875" style="6" customWidth="1"/>
    <col min="5386" max="5386" width="19.09765625" style="6" customWidth="1"/>
    <col min="5387" max="5632" width="8" style="6"/>
    <col min="5633" max="5633" width="11.69921875" style="6" customWidth="1"/>
    <col min="5634" max="5634" width="24.5" style="6" customWidth="1"/>
    <col min="5635" max="5641" width="13.69921875" style="6" customWidth="1"/>
    <col min="5642" max="5642" width="19.09765625" style="6" customWidth="1"/>
    <col min="5643" max="5888" width="8" style="6"/>
    <col min="5889" max="5889" width="11.69921875" style="6" customWidth="1"/>
    <col min="5890" max="5890" width="24.5" style="6" customWidth="1"/>
    <col min="5891" max="5897" width="13.69921875" style="6" customWidth="1"/>
    <col min="5898" max="5898" width="19.09765625" style="6" customWidth="1"/>
    <col min="5899" max="6144" width="9" style="6" customWidth="1"/>
    <col min="6145" max="6145" width="11.69921875" style="6" customWidth="1"/>
    <col min="6146" max="6146" width="24.5" style="6" customWidth="1"/>
    <col min="6147" max="6153" width="13.69921875" style="6" customWidth="1"/>
    <col min="6154" max="6154" width="19.09765625" style="6" customWidth="1"/>
    <col min="6155" max="6400" width="8" style="6"/>
    <col min="6401" max="6401" width="11.69921875" style="6" customWidth="1"/>
    <col min="6402" max="6402" width="24.5" style="6" customWidth="1"/>
    <col min="6403" max="6409" width="13.69921875" style="6" customWidth="1"/>
    <col min="6410" max="6410" width="19.09765625" style="6" customWidth="1"/>
    <col min="6411" max="6656" width="8" style="6"/>
    <col min="6657" max="6657" width="11.69921875" style="6" customWidth="1"/>
    <col min="6658" max="6658" width="24.5" style="6" customWidth="1"/>
    <col min="6659" max="6665" width="13.69921875" style="6" customWidth="1"/>
    <col min="6666" max="6666" width="19.09765625" style="6" customWidth="1"/>
    <col min="6667" max="6912" width="8" style="6"/>
    <col min="6913" max="6913" width="11.69921875" style="6" customWidth="1"/>
    <col min="6914" max="6914" width="24.5" style="6" customWidth="1"/>
    <col min="6915" max="6921" width="13.69921875" style="6" customWidth="1"/>
    <col min="6922" max="6922" width="19.09765625" style="6" customWidth="1"/>
    <col min="6923" max="7168" width="9" style="6" customWidth="1"/>
    <col min="7169" max="7169" width="11.69921875" style="6" customWidth="1"/>
    <col min="7170" max="7170" width="24.5" style="6" customWidth="1"/>
    <col min="7171" max="7177" width="13.69921875" style="6" customWidth="1"/>
    <col min="7178" max="7178" width="19.09765625" style="6" customWidth="1"/>
    <col min="7179" max="7424" width="8" style="6"/>
    <col min="7425" max="7425" width="11.69921875" style="6" customWidth="1"/>
    <col min="7426" max="7426" width="24.5" style="6" customWidth="1"/>
    <col min="7427" max="7433" width="13.69921875" style="6" customWidth="1"/>
    <col min="7434" max="7434" width="19.09765625" style="6" customWidth="1"/>
    <col min="7435" max="7680" width="8" style="6"/>
    <col min="7681" max="7681" width="11.69921875" style="6" customWidth="1"/>
    <col min="7682" max="7682" width="24.5" style="6" customWidth="1"/>
    <col min="7683" max="7689" width="13.69921875" style="6" customWidth="1"/>
    <col min="7690" max="7690" width="19.09765625" style="6" customWidth="1"/>
    <col min="7691" max="7936" width="8" style="6"/>
    <col min="7937" max="7937" width="11.69921875" style="6" customWidth="1"/>
    <col min="7938" max="7938" width="24.5" style="6" customWidth="1"/>
    <col min="7939" max="7945" width="13.69921875" style="6" customWidth="1"/>
    <col min="7946" max="7946" width="19.09765625" style="6" customWidth="1"/>
    <col min="7947" max="8192" width="9" style="6" customWidth="1"/>
    <col min="8193" max="8193" width="11.69921875" style="6" customWidth="1"/>
    <col min="8194" max="8194" width="24.5" style="6" customWidth="1"/>
    <col min="8195" max="8201" width="13.69921875" style="6" customWidth="1"/>
    <col min="8202" max="8202" width="19.09765625" style="6" customWidth="1"/>
    <col min="8203" max="8448" width="8" style="6"/>
    <col min="8449" max="8449" width="11.69921875" style="6" customWidth="1"/>
    <col min="8450" max="8450" width="24.5" style="6" customWidth="1"/>
    <col min="8451" max="8457" width="13.69921875" style="6" customWidth="1"/>
    <col min="8458" max="8458" width="19.09765625" style="6" customWidth="1"/>
    <col min="8459" max="8704" width="8" style="6"/>
    <col min="8705" max="8705" width="11.69921875" style="6" customWidth="1"/>
    <col min="8706" max="8706" width="24.5" style="6" customWidth="1"/>
    <col min="8707" max="8713" width="13.69921875" style="6" customWidth="1"/>
    <col min="8714" max="8714" width="19.09765625" style="6" customWidth="1"/>
    <col min="8715" max="8960" width="8" style="6"/>
    <col min="8961" max="8961" width="11.69921875" style="6" customWidth="1"/>
    <col min="8962" max="8962" width="24.5" style="6" customWidth="1"/>
    <col min="8963" max="8969" width="13.69921875" style="6" customWidth="1"/>
    <col min="8970" max="8970" width="19.09765625" style="6" customWidth="1"/>
    <col min="8971" max="9216" width="9" style="6" customWidth="1"/>
    <col min="9217" max="9217" width="11.69921875" style="6" customWidth="1"/>
    <col min="9218" max="9218" width="24.5" style="6" customWidth="1"/>
    <col min="9219" max="9225" width="13.69921875" style="6" customWidth="1"/>
    <col min="9226" max="9226" width="19.09765625" style="6" customWidth="1"/>
    <col min="9227" max="9472" width="8" style="6"/>
    <col min="9473" max="9473" width="11.69921875" style="6" customWidth="1"/>
    <col min="9474" max="9474" width="24.5" style="6" customWidth="1"/>
    <col min="9475" max="9481" width="13.69921875" style="6" customWidth="1"/>
    <col min="9482" max="9482" width="19.09765625" style="6" customWidth="1"/>
    <col min="9483" max="9728" width="8" style="6"/>
    <col min="9729" max="9729" width="11.69921875" style="6" customWidth="1"/>
    <col min="9730" max="9730" width="24.5" style="6" customWidth="1"/>
    <col min="9731" max="9737" width="13.69921875" style="6" customWidth="1"/>
    <col min="9738" max="9738" width="19.09765625" style="6" customWidth="1"/>
    <col min="9739" max="9984" width="8" style="6"/>
    <col min="9985" max="9985" width="11.69921875" style="6" customWidth="1"/>
    <col min="9986" max="9986" width="24.5" style="6" customWidth="1"/>
    <col min="9987" max="9993" width="13.69921875" style="6" customWidth="1"/>
    <col min="9994" max="9994" width="19.09765625" style="6" customWidth="1"/>
    <col min="9995" max="10240" width="9" style="6" customWidth="1"/>
    <col min="10241" max="10241" width="11.69921875" style="6" customWidth="1"/>
    <col min="10242" max="10242" width="24.5" style="6" customWidth="1"/>
    <col min="10243" max="10249" width="13.69921875" style="6" customWidth="1"/>
    <col min="10250" max="10250" width="19.09765625" style="6" customWidth="1"/>
    <col min="10251" max="10496" width="8" style="6"/>
    <col min="10497" max="10497" width="11.69921875" style="6" customWidth="1"/>
    <col min="10498" max="10498" width="24.5" style="6" customWidth="1"/>
    <col min="10499" max="10505" width="13.69921875" style="6" customWidth="1"/>
    <col min="10506" max="10506" width="19.09765625" style="6" customWidth="1"/>
    <col min="10507" max="10752" width="8" style="6"/>
    <col min="10753" max="10753" width="11.69921875" style="6" customWidth="1"/>
    <col min="10754" max="10754" width="24.5" style="6" customWidth="1"/>
    <col min="10755" max="10761" width="13.69921875" style="6" customWidth="1"/>
    <col min="10762" max="10762" width="19.09765625" style="6" customWidth="1"/>
    <col min="10763" max="11008" width="8" style="6"/>
    <col min="11009" max="11009" width="11.69921875" style="6" customWidth="1"/>
    <col min="11010" max="11010" width="24.5" style="6" customWidth="1"/>
    <col min="11011" max="11017" width="13.69921875" style="6" customWidth="1"/>
    <col min="11018" max="11018" width="19.09765625" style="6" customWidth="1"/>
    <col min="11019" max="11264" width="9" style="6" customWidth="1"/>
    <col min="11265" max="11265" width="11.69921875" style="6" customWidth="1"/>
    <col min="11266" max="11266" width="24.5" style="6" customWidth="1"/>
    <col min="11267" max="11273" width="13.69921875" style="6" customWidth="1"/>
    <col min="11274" max="11274" width="19.09765625" style="6" customWidth="1"/>
    <col min="11275" max="11520" width="8" style="6"/>
    <col min="11521" max="11521" width="11.69921875" style="6" customWidth="1"/>
    <col min="11522" max="11522" width="24.5" style="6" customWidth="1"/>
    <col min="11523" max="11529" width="13.69921875" style="6" customWidth="1"/>
    <col min="11530" max="11530" width="19.09765625" style="6" customWidth="1"/>
    <col min="11531" max="11776" width="8" style="6"/>
    <col min="11777" max="11777" width="11.69921875" style="6" customWidth="1"/>
    <col min="11778" max="11778" width="24.5" style="6" customWidth="1"/>
    <col min="11779" max="11785" width="13.69921875" style="6" customWidth="1"/>
    <col min="11786" max="11786" width="19.09765625" style="6" customWidth="1"/>
    <col min="11787" max="12032" width="8" style="6"/>
    <col min="12033" max="12033" width="11.69921875" style="6" customWidth="1"/>
    <col min="12034" max="12034" width="24.5" style="6" customWidth="1"/>
    <col min="12035" max="12041" width="13.69921875" style="6" customWidth="1"/>
    <col min="12042" max="12042" width="19.09765625" style="6" customWidth="1"/>
    <col min="12043" max="12288" width="9" style="6" customWidth="1"/>
    <col min="12289" max="12289" width="11.69921875" style="6" customWidth="1"/>
    <col min="12290" max="12290" width="24.5" style="6" customWidth="1"/>
    <col min="12291" max="12297" width="13.69921875" style="6" customWidth="1"/>
    <col min="12298" max="12298" width="19.09765625" style="6" customWidth="1"/>
    <col min="12299" max="12544" width="8" style="6"/>
    <col min="12545" max="12545" width="11.69921875" style="6" customWidth="1"/>
    <col min="12546" max="12546" width="24.5" style="6" customWidth="1"/>
    <col min="12547" max="12553" width="13.69921875" style="6" customWidth="1"/>
    <col min="12554" max="12554" width="19.09765625" style="6" customWidth="1"/>
    <col min="12555" max="12800" width="8" style="6"/>
    <col min="12801" max="12801" width="11.69921875" style="6" customWidth="1"/>
    <col min="12802" max="12802" width="24.5" style="6" customWidth="1"/>
    <col min="12803" max="12809" width="13.69921875" style="6" customWidth="1"/>
    <col min="12810" max="12810" width="19.09765625" style="6" customWidth="1"/>
    <col min="12811" max="13056" width="8" style="6"/>
    <col min="13057" max="13057" width="11.69921875" style="6" customWidth="1"/>
    <col min="13058" max="13058" width="24.5" style="6" customWidth="1"/>
    <col min="13059" max="13065" width="13.69921875" style="6" customWidth="1"/>
    <col min="13066" max="13066" width="19.09765625" style="6" customWidth="1"/>
    <col min="13067" max="13312" width="9" style="6" customWidth="1"/>
    <col min="13313" max="13313" width="11.69921875" style="6" customWidth="1"/>
    <col min="13314" max="13314" width="24.5" style="6" customWidth="1"/>
    <col min="13315" max="13321" width="13.69921875" style="6" customWidth="1"/>
    <col min="13322" max="13322" width="19.09765625" style="6" customWidth="1"/>
    <col min="13323" max="13568" width="8" style="6"/>
    <col min="13569" max="13569" width="11.69921875" style="6" customWidth="1"/>
    <col min="13570" max="13570" width="24.5" style="6" customWidth="1"/>
    <col min="13571" max="13577" width="13.69921875" style="6" customWidth="1"/>
    <col min="13578" max="13578" width="19.09765625" style="6" customWidth="1"/>
    <col min="13579" max="13824" width="8" style="6"/>
    <col min="13825" max="13825" width="11.69921875" style="6" customWidth="1"/>
    <col min="13826" max="13826" width="24.5" style="6" customWidth="1"/>
    <col min="13827" max="13833" width="13.69921875" style="6" customWidth="1"/>
    <col min="13834" max="13834" width="19.09765625" style="6" customWidth="1"/>
    <col min="13835" max="14080" width="8" style="6"/>
    <col min="14081" max="14081" width="11.69921875" style="6" customWidth="1"/>
    <col min="14082" max="14082" width="24.5" style="6" customWidth="1"/>
    <col min="14083" max="14089" width="13.69921875" style="6" customWidth="1"/>
    <col min="14090" max="14090" width="19.09765625" style="6" customWidth="1"/>
    <col min="14091" max="14336" width="9" style="6" customWidth="1"/>
    <col min="14337" max="14337" width="11.69921875" style="6" customWidth="1"/>
    <col min="14338" max="14338" width="24.5" style="6" customWidth="1"/>
    <col min="14339" max="14345" width="13.69921875" style="6" customWidth="1"/>
    <col min="14346" max="14346" width="19.09765625" style="6" customWidth="1"/>
    <col min="14347" max="14592" width="8" style="6"/>
    <col min="14593" max="14593" width="11.69921875" style="6" customWidth="1"/>
    <col min="14594" max="14594" width="24.5" style="6" customWidth="1"/>
    <col min="14595" max="14601" width="13.69921875" style="6" customWidth="1"/>
    <col min="14602" max="14602" width="19.09765625" style="6" customWidth="1"/>
    <col min="14603" max="14848" width="8" style="6"/>
    <col min="14849" max="14849" width="11.69921875" style="6" customWidth="1"/>
    <col min="14850" max="14850" width="24.5" style="6" customWidth="1"/>
    <col min="14851" max="14857" width="13.69921875" style="6" customWidth="1"/>
    <col min="14858" max="14858" width="19.09765625" style="6" customWidth="1"/>
    <col min="14859" max="15104" width="8" style="6"/>
    <col min="15105" max="15105" width="11.69921875" style="6" customWidth="1"/>
    <col min="15106" max="15106" width="24.5" style="6" customWidth="1"/>
    <col min="15107" max="15113" width="13.69921875" style="6" customWidth="1"/>
    <col min="15114" max="15114" width="19.09765625" style="6" customWidth="1"/>
    <col min="15115" max="15360" width="9" style="6" customWidth="1"/>
    <col min="15361" max="15361" width="11.69921875" style="6" customWidth="1"/>
    <col min="15362" max="15362" width="24.5" style="6" customWidth="1"/>
    <col min="15363" max="15369" width="13.69921875" style="6" customWidth="1"/>
    <col min="15370" max="15370" width="19.09765625" style="6" customWidth="1"/>
    <col min="15371" max="15616" width="8" style="6"/>
    <col min="15617" max="15617" width="11.69921875" style="6" customWidth="1"/>
    <col min="15618" max="15618" width="24.5" style="6" customWidth="1"/>
    <col min="15619" max="15625" width="13.69921875" style="6" customWidth="1"/>
    <col min="15626" max="15626" width="19.09765625" style="6" customWidth="1"/>
    <col min="15627" max="15872" width="8" style="6"/>
    <col min="15873" max="15873" width="11.69921875" style="6" customWidth="1"/>
    <col min="15874" max="15874" width="24.5" style="6" customWidth="1"/>
    <col min="15875" max="15881" width="13.69921875" style="6" customWidth="1"/>
    <col min="15882" max="15882" width="19.09765625" style="6" customWidth="1"/>
    <col min="15883" max="16128" width="8" style="6"/>
    <col min="16129" max="16129" width="11.69921875" style="6" customWidth="1"/>
    <col min="16130" max="16130" width="24.5" style="6" customWidth="1"/>
    <col min="16131" max="16137" width="13.69921875" style="6" customWidth="1"/>
    <col min="16138" max="16138" width="19.09765625" style="6" customWidth="1"/>
    <col min="16139" max="16384" width="9" style="6" customWidth="1"/>
  </cols>
  <sheetData>
    <row r="1" spans="1:17" ht="30" customHeight="1" x14ac:dyDescent="0.4">
      <c r="A1" s="852" t="s">
        <v>33</v>
      </c>
      <c r="B1" s="852"/>
      <c r="C1" s="852"/>
      <c r="D1" s="852"/>
      <c r="E1" s="852"/>
      <c r="F1" s="852"/>
      <c r="G1" s="852"/>
      <c r="H1" s="852"/>
      <c r="I1" s="7"/>
      <c r="J1" s="8"/>
    </row>
    <row r="2" spans="1:17" s="10" customFormat="1" ht="21" x14ac:dyDescent="0.4">
      <c r="A2" s="853" t="s">
        <v>34</v>
      </c>
      <c r="B2" s="853"/>
      <c r="C2" s="853"/>
      <c r="D2" s="854" t="s">
        <v>35</v>
      </c>
      <c r="E2" s="854"/>
      <c r="F2" s="854"/>
      <c r="G2" s="854"/>
      <c r="H2" s="854"/>
      <c r="I2" s="9"/>
      <c r="J2" s="8"/>
    </row>
    <row r="3" spans="1:17" x14ac:dyDescent="0.25">
      <c r="A3" s="11"/>
      <c r="B3" s="12"/>
      <c r="C3" s="13"/>
      <c r="D3" s="14"/>
      <c r="E3" s="14"/>
      <c r="F3" s="14"/>
    </row>
    <row r="4" spans="1:17" ht="30" customHeight="1" x14ac:dyDescent="0.25">
      <c r="A4" s="855" t="s">
        <v>36</v>
      </c>
      <c r="B4" s="855"/>
      <c r="C4" s="855"/>
      <c r="D4" s="856">
        <f>C10</f>
        <v>0</v>
      </c>
      <c r="E4" s="856"/>
      <c r="F4" s="856"/>
      <c r="G4" s="856"/>
      <c r="H4" s="856"/>
      <c r="I4" s="15"/>
    </row>
    <row r="5" spans="1:17" x14ac:dyDescent="0.25">
      <c r="B5" s="16"/>
    </row>
    <row r="6" spans="1:17" s="8" customFormat="1" ht="30" customHeight="1" x14ac:dyDescent="0.25">
      <c r="A6" s="17" t="s">
        <v>37</v>
      </c>
      <c r="B6" s="17" t="s">
        <v>38</v>
      </c>
      <c r="C6" s="18" t="s">
        <v>39</v>
      </c>
      <c r="D6" s="19" t="s">
        <v>40</v>
      </c>
      <c r="E6" s="19" t="s">
        <v>41</v>
      </c>
      <c r="F6" s="19" t="s">
        <v>42</v>
      </c>
      <c r="G6" s="19" t="s">
        <v>43</v>
      </c>
      <c r="H6" s="19" t="s">
        <v>44</v>
      </c>
      <c r="I6" s="19" t="s">
        <v>45</v>
      </c>
    </row>
    <row r="7" spans="1:17" s="8" customFormat="1" ht="13.8" x14ac:dyDescent="0.25">
      <c r="A7" s="20" t="s">
        <v>46</v>
      </c>
      <c r="B7" s="21" t="s">
        <v>47</v>
      </c>
      <c r="C7" s="22">
        <f>SUM(F7*5)+(G7*1)+(I7*0)</f>
        <v>799</v>
      </c>
      <c r="D7" s="23">
        <f t="shared" ref="D7:I7" si="0">D13</f>
        <v>771</v>
      </c>
      <c r="E7" s="23">
        <f t="shared" si="0"/>
        <v>771</v>
      </c>
      <c r="F7" s="23">
        <f t="shared" si="0"/>
        <v>13</v>
      </c>
      <c r="G7" s="23">
        <f t="shared" si="0"/>
        <v>734</v>
      </c>
      <c r="H7" s="23">
        <f t="shared" si="0"/>
        <v>0</v>
      </c>
      <c r="I7" s="23">
        <f t="shared" si="0"/>
        <v>24</v>
      </c>
    </row>
    <row r="8" spans="1:17" s="8" customFormat="1" ht="13.8" x14ac:dyDescent="0.25">
      <c r="A8" s="11"/>
      <c r="B8" s="24"/>
      <c r="C8" s="4"/>
      <c r="D8" s="14"/>
      <c r="E8" s="14"/>
      <c r="F8" s="14"/>
      <c r="G8" s="14"/>
      <c r="H8" s="14"/>
      <c r="I8" s="25"/>
    </row>
    <row r="9" spans="1:17" s="8" customFormat="1" ht="27.6" x14ac:dyDescent="0.25">
      <c r="A9" s="17" t="s">
        <v>37</v>
      </c>
      <c r="B9" s="17" t="s">
        <v>38</v>
      </c>
      <c r="C9" s="17" t="s">
        <v>48</v>
      </c>
      <c r="D9" s="19" t="s">
        <v>40</v>
      </c>
      <c r="E9" s="19" t="s">
        <v>41</v>
      </c>
      <c r="F9" s="19" t="s">
        <v>49</v>
      </c>
      <c r="G9" s="19" t="s">
        <v>50</v>
      </c>
      <c r="H9" s="19" t="s">
        <v>51</v>
      </c>
      <c r="I9" s="25"/>
    </row>
    <row r="10" spans="1:17" s="8" customFormat="1" ht="13.8" x14ac:dyDescent="0.25">
      <c r="A10" s="22" t="s">
        <v>46</v>
      </c>
      <c r="B10" s="26" t="s">
        <v>47</v>
      </c>
      <c r="C10" s="22">
        <f>C45</f>
        <v>0</v>
      </c>
      <c r="D10" s="23">
        <f>D13</f>
        <v>771</v>
      </c>
      <c r="E10" s="23">
        <f>E13</f>
        <v>771</v>
      </c>
      <c r="F10" s="23">
        <f>F45</f>
        <v>0</v>
      </c>
      <c r="G10" s="23">
        <f>G45</f>
        <v>0</v>
      </c>
      <c r="H10" s="23">
        <f>H45</f>
        <v>0</v>
      </c>
      <c r="I10" s="25"/>
    </row>
    <row r="11" spans="1:17" ht="15" customHeight="1" x14ac:dyDescent="0.4">
      <c r="A11" s="27"/>
      <c r="B11" s="27"/>
      <c r="C11" s="27"/>
      <c r="D11" s="25"/>
      <c r="E11" s="25"/>
      <c r="F11" s="25"/>
      <c r="G11" s="25"/>
      <c r="H11" s="25"/>
      <c r="I11" s="15"/>
      <c r="K11" s="28"/>
      <c r="L11" s="28"/>
    </row>
    <row r="12" spans="1:17" ht="30" customHeight="1" x14ac:dyDescent="0.25">
      <c r="A12" s="17" t="s">
        <v>37</v>
      </c>
      <c r="B12" s="17" t="s">
        <v>38</v>
      </c>
      <c r="C12" s="18" t="s">
        <v>39</v>
      </c>
      <c r="D12" s="19" t="s">
        <v>40</v>
      </c>
      <c r="E12" s="19" t="s">
        <v>41</v>
      </c>
      <c r="F12" s="19" t="s">
        <v>42</v>
      </c>
      <c r="G12" s="19" t="s">
        <v>43</v>
      </c>
      <c r="H12" s="19" t="s">
        <v>44</v>
      </c>
      <c r="I12" s="19" t="s">
        <v>45</v>
      </c>
      <c r="Q12" s="29"/>
    </row>
    <row r="13" spans="1:17" ht="18" customHeight="1" x14ac:dyDescent="0.25">
      <c r="A13" s="22" t="s">
        <v>52</v>
      </c>
      <c r="B13" s="30"/>
      <c r="C13" s="22">
        <f>SUM(C14:C32)</f>
        <v>799</v>
      </c>
      <c r="D13" s="22">
        <f>SUM(D14:D32)</f>
        <v>771</v>
      </c>
      <c r="E13" s="22">
        <f>SUM(E14:E32)</f>
        <v>771</v>
      </c>
      <c r="F13" s="22">
        <f>SUM(F14:F35)</f>
        <v>13</v>
      </c>
      <c r="G13" s="22">
        <f>SUM(G14:G35)</f>
        <v>734</v>
      </c>
      <c r="H13" s="22">
        <f>SUM(H14:H35)</f>
        <v>0</v>
      </c>
      <c r="I13" s="22">
        <f>SUM(I14:I35)</f>
        <v>24</v>
      </c>
      <c r="J13" s="31">
        <f>SUM(F13,G13,H13,I13)</f>
        <v>771</v>
      </c>
      <c r="K13" s="32">
        <f>SUM(F13/D13)</f>
        <v>1.6861219195849545E-2</v>
      </c>
      <c r="Q13"/>
    </row>
    <row r="14" spans="1:17" s="734" customFormat="1" ht="15" customHeight="1" x14ac:dyDescent="0.25">
      <c r="A14" s="774">
        <v>1</v>
      </c>
      <c r="B14" s="775" t="str">
        <f>'911 ALI'!A2</f>
        <v>911 ALI</v>
      </c>
      <c r="C14" s="776">
        <f t="shared" ref="C14:C18" si="1">SUM(F14*5)+(G14*1)+(I14*0)</f>
        <v>57</v>
      </c>
      <c r="D14" s="777">
        <f>'911 ALI'!H2</f>
        <v>50</v>
      </c>
      <c r="E14" s="777">
        <f>'911 ALI'!H3</f>
        <v>50</v>
      </c>
      <c r="F14" s="777">
        <f>COUNTIF('911 ALI'!B:B,"Critical")</f>
        <v>3</v>
      </c>
      <c r="G14" s="777">
        <f>COUNTIF('911 ALI'!B:B,"Important")</f>
        <v>42</v>
      </c>
      <c r="H14" s="777">
        <f>COUNTIF('911 ALI'!B:B,"Not Needed")</f>
        <v>0</v>
      </c>
      <c r="I14" s="777">
        <f>COUNTIF('911 ALI'!B:B,"Informational")</f>
        <v>5</v>
      </c>
      <c r="J14" s="778">
        <f t="shared" ref="J14:J17" si="2">SUM(F14:I14)</f>
        <v>50</v>
      </c>
      <c r="K14" s="779">
        <f>SUM(F14/D14)</f>
        <v>0.06</v>
      </c>
      <c r="Q14" s="735"/>
    </row>
    <row r="15" spans="1:17" s="739" customFormat="1" ht="15" customHeight="1" x14ac:dyDescent="0.25">
      <c r="A15" s="780">
        <v>4</v>
      </c>
      <c r="B15" s="781" t="str">
        <f>AXON!A2</f>
        <v>AXON</v>
      </c>
      <c r="C15" s="782">
        <f t="shared" si="1"/>
        <v>1</v>
      </c>
      <c r="D15" s="783">
        <f>AXON!H2</f>
        <v>8</v>
      </c>
      <c r="E15" s="783">
        <f>AXON!H3</f>
        <v>8</v>
      </c>
      <c r="F15" s="783">
        <f>COUNTIF(AXON!B:B,"Critical")</f>
        <v>0</v>
      </c>
      <c r="G15" s="783">
        <f>COUNTIF(AXON!B:B,"Important")</f>
        <v>1</v>
      </c>
      <c r="H15" s="783">
        <f>COUNTIF(AXON!B:B,"Not Needed")</f>
        <v>0</v>
      </c>
      <c r="I15" s="783">
        <f>COUNTIF(AXON!B:B,"Informational")</f>
        <v>7</v>
      </c>
      <c r="J15" s="784">
        <f t="shared" si="2"/>
        <v>8</v>
      </c>
      <c r="K15" s="785">
        <f>SUM(F17/D17)</f>
        <v>0</v>
      </c>
    </row>
    <row r="16" spans="1:17" s="734" customFormat="1" ht="15" customHeight="1" x14ac:dyDescent="0.25">
      <c r="A16" s="728">
        <v>5</v>
      </c>
      <c r="B16" s="729" t="str">
        <f>CAD2CAD!A2</f>
        <v>CAD2CAD</v>
      </c>
      <c r="C16" s="730">
        <f t="shared" si="1"/>
        <v>45</v>
      </c>
      <c r="D16" s="731">
        <f>CAD2CAD!H2</f>
        <v>9</v>
      </c>
      <c r="E16" s="731">
        <f>CAD2CAD!H3</f>
        <v>9</v>
      </c>
      <c r="F16" s="731">
        <f>COUNTIF(CAD2CAD!B:B,"Critical")</f>
        <v>9</v>
      </c>
      <c r="G16" s="731">
        <f>COUNTIF(CAD2CAD!B:B,"Important")</f>
        <v>0</v>
      </c>
      <c r="H16" s="731">
        <f>COUNTIF(CAD2CAD!B:B,"Not Needed")</f>
        <v>0</v>
      </c>
      <c r="I16" s="731">
        <f>COUNTIF(CAD2CAD!B:B,"Informational")</f>
        <v>0</v>
      </c>
      <c r="J16" s="732">
        <f t="shared" si="2"/>
        <v>9</v>
      </c>
      <c r="K16" s="785">
        <f>SUM(F18/D18)</f>
        <v>0</v>
      </c>
      <c r="Q16" s="735"/>
    </row>
    <row r="17" spans="1:17" s="739" customFormat="1" ht="15" customHeight="1" x14ac:dyDescent="0.25">
      <c r="A17" s="780">
        <v>6</v>
      </c>
      <c r="B17" s="781" t="str">
        <f>CarFax!A2</f>
        <v>CARFAX</v>
      </c>
      <c r="C17" s="782">
        <f t="shared" si="1"/>
        <v>20</v>
      </c>
      <c r="D17" s="783">
        <f>CarFax!H2</f>
        <v>20</v>
      </c>
      <c r="E17" s="783">
        <f>CarFax!H3</f>
        <v>20</v>
      </c>
      <c r="F17" s="783">
        <f>COUNTIF(CarFax!B:B,"Critical")</f>
        <v>0</v>
      </c>
      <c r="G17" s="783">
        <f>COUNTIF(CarFax!B:B,"Important")</f>
        <v>20</v>
      </c>
      <c r="H17" s="783">
        <f>COUNTIF(CarFax!B:B,"Not Needed")</f>
        <v>0</v>
      </c>
      <c r="I17" s="783">
        <f>COUNTIF(CarFax!B:B,"Informational")</f>
        <v>0</v>
      </c>
      <c r="J17" s="784">
        <f t="shared" si="2"/>
        <v>20</v>
      </c>
      <c r="K17" s="785">
        <f>SUM(F15/D15)</f>
        <v>0</v>
      </c>
    </row>
    <row r="18" spans="1:17" s="739" customFormat="1" ht="15" customHeight="1" x14ac:dyDescent="0.25">
      <c r="A18" s="780">
        <v>8</v>
      </c>
      <c r="B18" s="786" t="s">
        <v>1716</v>
      </c>
      <c r="C18" s="776">
        <f t="shared" si="1"/>
        <v>36</v>
      </c>
      <c r="D18" s="777">
        <f>Drones!H2</f>
        <v>38</v>
      </c>
      <c r="E18" s="777">
        <f>Drones!H3</f>
        <v>38</v>
      </c>
      <c r="F18" s="777">
        <f>COUNTIF(Drones!B:B,"Critical")</f>
        <v>0</v>
      </c>
      <c r="G18" s="777">
        <f>COUNTIF(Drones!B:B,"Important")</f>
        <v>36</v>
      </c>
      <c r="H18" s="777">
        <f>COUNTIF(Drones!B:B,"Not Needed")</f>
        <v>0</v>
      </c>
      <c r="I18" s="777">
        <f>COUNTIF(Drones!B:B,"Informational")</f>
        <v>2</v>
      </c>
      <c r="J18" s="778">
        <f t="shared" ref="J18:J31" si="3">SUM(F19:I19)</f>
        <v>22</v>
      </c>
      <c r="K18" s="785">
        <f>SUM(F16/D16)</f>
        <v>1</v>
      </c>
    </row>
    <row r="19" spans="1:17" s="734" customFormat="1" ht="15" customHeight="1" x14ac:dyDescent="0.25">
      <c r="A19" s="728">
        <v>9</v>
      </c>
      <c r="B19" s="35" t="str">
        <f>'TREDS Crash'!A2</f>
        <v>TREDS CRASH</v>
      </c>
      <c r="C19" s="36">
        <f t="shared" ref="C19:C32" si="4">SUM(F19*5)+(G19*1)+(I19*0)</f>
        <v>20</v>
      </c>
      <c r="D19" s="37">
        <f>'TREDS Crash'!H2</f>
        <v>22</v>
      </c>
      <c r="E19" s="37">
        <f>'TREDS Crash'!H3</f>
        <v>22</v>
      </c>
      <c r="F19" s="37">
        <f>COUNTIF('TREDS Crash'!B:B,"Critical")</f>
        <v>0</v>
      </c>
      <c r="G19" s="37">
        <f>COUNTIF('TREDS Crash'!B:B,"Important")</f>
        <v>20</v>
      </c>
      <c r="H19" s="37">
        <f>COUNTIF('TREDS Crash'!B:B,"Not Needed")</f>
        <v>0</v>
      </c>
      <c r="I19" s="37">
        <f>COUNTIF('TREDS Crash'!B:B,"Informational")</f>
        <v>2</v>
      </c>
      <c r="J19" s="732">
        <f t="shared" si="3"/>
        <v>22</v>
      </c>
      <c r="K19" s="733">
        <f>SUM(F15/D15)</f>
        <v>0</v>
      </c>
      <c r="Q19" s="735"/>
    </row>
    <row r="20" spans="1:17" s="739" customFormat="1" ht="15" customHeight="1" x14ac:dyDescent="0.25">
      <c r="A20" s="780">
        <v>10</v>
      </c>
      <c r="B20" s="775" t="str">
        <f>'eCitation DMV '!A2</f>
        <v>eCITATION</v>
      </c>
      <c r="C20" s="776">
        <f t="shared" si="4"/>
        <v>22</v>
      </c>
      <c r="D20" s="777">
        <f>'eCitation DMV '!H2</f>
        <v>22</v>
      </c>
      <c r="E20" s="777">
        <f>'eCitation DMV '!H3</f>
        <v>22</v>
      </c>
      <c r="F20" s="777">
        <f>COUNTIF('eCitation DMV '!B:B,"Critical")</f>
        <v>0</v>
      </c>
      <c r="G20" s="777">
        <f>COUNTIF('eCitation DMV '!B:B,"Important")</f>
        <v>22</v>
      </c>
      <c r="H20" s="777">
        <f>COUNTIF('eCitation DMV '!B:B,"Not Needed")</f>
        <v>0</v>
      </c>
      <c r="I20" s="777">
        <f>COUNTIF('eCitation DMV '!B:B,"Informational")</f>
        <v>0</v>
      </c>
      <c r="J20" s="784">
        <f t="shared" si="3"/>
        <v>25</v>
      </c>
      <c r="K20" s="733">
        <f>SUM(F16/D16)</f>
        <v>1</v>
      </c>
    </row>
    <row r="21" spans="1:17" s="734" customFormat="1" ht="15" customHeight="1" x14ac:dyDescent="0.25">
      <c r="A21" s="728">
        <v>11</v>
      </c>
      <c r="B21" s="736" t="str">
        <f>EMD!A2</f>
        <v>EMD</v>
      </c>
      <c r="C21" s="737">
        <f t="shared" si="4"/>
        <v>25</v>
      </c>
      <c r="D21" s="738">
        <f>EMD!H2</f>
        <v>25</v>
      </c>
      <c r="E21" s="738">
        <f>EMD!H3</f>
        <v>25</v>
      </c>
      <c r="F21" s="738">
        <f>COUNTIF(EMD!B:B,"Critical")</f>
        <v>0</v>
      </c>
      <c r="G21" s="738">
        <f>COUNTIF(EMD!B:B,"Important")</f>
        <v>25</v>
      </c>
      <c r="H21" s="738">
        <f>COUNTIF(EMD!B:B,"Not Needed")</f>
        <v>0</v>
      </c>
      <c r="I21" s="738">
        <f>COUNTIF(EMD!B:B,"Informational")</f>
        <v>0</v>
      </c>
      <c r="J21" s="732">
        <f t="shared" si="3"/>
        <v>54</v>
      </c>
      <c r="K21" s="733">
        <f>SUM(F21/D21)</f>
        <v>0</v>
      </c>
      <c r="Q21" s="735"/>
    </row>
    <row r="22" spans="1:17" s="739" customFormat="1" ht="15" customHeight="1" x14ac:dyDescent="0.25">
      <c r="A22" s="780">
        <v>12</v>
      </c>
      <c r="B22" s="775" t="str">
        <f>ePCR!A2</f>
        <v>ePCR</v>
      </c>
      <c r="C22" s="776">
        <f t="shared" si="4"/>
        <v>52</v>
      </c>
      <c r="D22" s="777">
        <f>ePCR!H2</f>
        <v>54</v>
      </c>
      <c r="E22" s="777">
        <f>ePCR!H3</f>
        <v>54</v>
      </c>
      <c r="F22" s="777">
        <f>COUNTIF(ePCR!B:B,"Critical")</f>
        <v>0</v>
      </c>
      <c r="G22" s="777">
        <f>COUNTIF(ePCR!B:B,"Important")</f>
        <v>52</v>
      </c>
      <c r="H22" s="777">
        <f>COUNTIF(ePCR!B:B,"Not Needed")</f>
        <v>0</v>
      </c>
      <c r="I22" s="777">
        <f>COUNTIF(ePCR!B:B,"Informational")</f>
        <v>2</v>
      </c>
      <c r="J22" s="732">
        <f t="shared" si="3"/>
        <v>46</v>
      </c>
      <c r="K22" s="785">
        <f>SUM(F20/D20)</f>
        <v>0</v>
      </c>
    </row>
    <row r="23" spans="1:17" s="41" customFormat="1" ht="15" customHeight="1" x14ac:dyDescent="0.25">
      <c r="A23" s="788">
        <v>14</v>
      </c>
      <c r="B23" s="775" t="str">
        <f>'FRMS Export'!A2</f>
        <v>FRMS EXPORT</v>
      </c>
      <c r="C23" s="776">
        <f t="shared" si="4"/>
        <v>46</v>
      </c>
      <c r="D23" s="777">
        <f>'FRMS Export'!H2</f>
        <v>46</v>
      </c>
      <c r="E23" s="777">
        <f>'FRMS Export'!H3</f>
        <v>46</v>
      </c>
      <c r="F23" s="777">
        <f>COUNTIF('FRMS Export'!B:B,"Critical")</f>
        <v>0</v>
      </c>
      <c r="G23" s="777">
        <f>COUNTIF('FRMS Export'!B:B,"Important")</f>
        <v>46</v>
      </c>
      <c r="H23" s="777">
        <f>COUNTIF('FRMS Export'!B:B,"Not Needed")</f>
        <v>0</v>
      </c>
      <c r="I23" s="777">
        <f>COUNTIF('FRMS Export'!B:B,"Informational")</f>
        <v>0</v>
      </c>
      <c r="J23" s="784">
        <f t="shared" si="3"/>
        <v>19</v>
      </c>
      <c r="K23" s="789">
        <f>SUM(F22/D22)</f>
        <v>0</v>
      </c>
      <c r="Q23" s="42"/>
    </row>
    <row r="24" spans="1:17" s="734" customFormat="1" ht="15" customHeight="1" x14ac:dyDescent="0.25">
      <c r="A24" s="728">
        <v>15</v>
      </c>
      <c r="B24" s="39" t="str">
        <f>Livescan!A2</f>
        <v>LIVESCAN</v>
      </c>
      <c r="C24" s="36">
        <f t="shared" si="4"/>
        <v>19</v>
      </c>
      <c r="D24" s="37">
        <f>Livescan!H2</f>
        <v>19</v>
      </c>
      <c r="E24" s="37">
        <f>Livescan!H3</f>
        <v>19</v>
      </c>
      <c r="F24" s="37">
        <f>COUNTIF(Livescan!B:B,"Critical")</f>
        <v>0</v>
      </c>
      <c r="G24" s="37">
        <f>COUNTIF(Livescan!B:B,"Important")</f>
        <v>19</v>
      </c>
      <c r="H24" s="37">
        <f>COUNTIF(Livescan!B:B,"Not Needed")</f>
        <v>0</v>
      </c>
      <c r="I24" s="37">
        <f>COUNTIF(Livescan!B:B,"Informational")</f>
        <v>0</v>
      </c>
      <c r="J24" s="732">
        <f t="shared" si="3"/>
        <v>76</v>
      </c>
      <c r="K24" s="789">
        <f>SUM(F23/D23)</f>
        <v>0</v>
      </c>
      <c r="Q24" s="735"/>
    </row>
    <row r="25" spans="1:17" s="41" customFormat="1" ht="15" customHeight="1" x14ac:dyDescent="0.25">
      <c r="A25" s="788">
        <v>16</v>
      </c>
      <c r="B25" s="775" t="str">
        <f>'NG911'!A2</f>
        <v>NG911</v>
      </c>
      <c r="C25" s="776">
        <f t="shared" si="4"/>
        <v>76</v>
      </c>
      <c r="D25" s="777">
        <f>'NG911'!H2</f>
        <v>76</v>
      </c>
      <c r="E25" s="777">
        <f>'NG911'!H3</f>
        <v>76</v>
      </c>
      <c r="F25" s="777">
        <f>COUNTIF('NG911'!B:B,"Critical")</f>
        <v>0</v>
      </c>
      <c r="G25" s="777">
        <f>COUNTIF('NG911'!B:B,"Important")</f>
        <v>76</v>
      </c>
      <c r="H25" s="777">
        <f>COUNTIF('NG911'!B:B,"Not Needed")</f>
        <v>0</v>
      </c>
      <c r="I25" s="777">
        <f>COUNTIF('NG911'!B:B,"Informational")</f>
        <v>0</v>
      </c>
      <c r="J25" s="784">
        <f t="shared" si="3"/>
        <v>25</v>
      </c>
      <c r="K25" s="789">
        <f>SUM(F23/D23)</f>
        <v>0</v>
      </c>
      <c r="Q25" s="42"/>
    </row>
    <row r="26" spans="1:17" s="734" customFormat="1" ht="15" customHeight="1" x14ac:dyDescent="0.25">
      <c r="A26" s="728">
        <v>17</v>
      </c>
      <c r="B26" s="39" t="s">
        <v>927</v>
      </c>
      <c r="C26" s="36">
        <f t="shared" si="4"/>
        <v>25</v>
      </c>
      <c r="D26" s="37">
        <f>NIBRS!H2</f>
        <v>25</v>
      </c>
      <c r="E26" s="37">
        <f>NIBRS!H3</f>
        <v>25</v>
      </c>
      <c r="F26" s="37">
        <f>COUNTIF(NIBRS!B:B,"Critical")</f>
        <v>0</v>
      </c>
      <c r="G26" s="37">
        <f>COUNTIF(NIBRS!B:B,"Important")</f>
        <v>25</v>
      </c>
      <c r="H26" s="37">
        <f>COUNTIF(NIBRS!B:B,"Not Needed")</f>
        <v>0</v>
      </c>
      <c r="I26" s="37">
        <f>COUNTIF(NIBRS!B:B,"Informational")</f>
        <v>0</v>
      </c>
      <c r="J26" s="784">
        <f t="shared" si="3"/>
        <v>88</v>
      </c>
      <c r="K26" s="40">
        <f>SUM(F24/D24)</f>
        <v>0</v>
      </c>
      <c r="Q26" s="735"/>
    </row>
    <row r="27" spans="1:17" s="734" customFormat="1" ht="15" customHeight="1" x14ac:dyDescent="0.25">
      <c r="A27" s="728">
        <v>19</v>
      </c>
      <c r="B27" s="39" t="str">
        <f>Paging!A2</f>
        <v>PAGING</v>
      </c>
      <c r="C27" s="36">
        <f t="shared" si="4"/>
        <v>88</v>
      </c>
      <c r="D27" s="37">
        <f>Paging!H2</f>
        <v>88</v>
      </c>
      <c r="E27" s="37">
        <f>Paging!H3</f>
        <v>88</v>
      </c>
      <c r="F27" s="37">
        <f>COUNTIF(Paging!B:B,"Critical")</f>
        <v>0</v>
      </c>
      <c r="G27" s="37">
        <f>COUNTIF(Paging!B:B,"Important")</f>
        <v>88</v>
      </c>
      <c r="H27" s="37">
        <f>COUNTIF(Paging!B:B,"Not Needed")</f>
        <v>0</v>
      </c>
      <c r="I27" s="37">
        <f>COUNTIF(Paging!B:B,"Informational")</f>
        <v>0</v>
      </c>
      <c r="J27" s="732">
        <f t="shared" si="3"/>
        <v>15</v>
      </c>
      <c r="K27" s="733">
        <f>SUM(F24/D24)</f>
        <v>0</v>
      </c>
      <c r="Q27" s="735"/>
    </row>
    <row r="28" spans="1:17" s="41" customFormat="1" ht="15" customHeight="1" x14ac:dyDescent="0.25">
      <c r="A28" s="788">
        <v>20</v>
      </c>
      <c r="B28" s="775" t="str">
        <f>PulsePoint!A2</f>
        <v>PULSEPOINT</v>
      </c>
      <c r="C28" s="776">
        <f t="shared" si="4"/>
        <v>15</v>
      </c>
      <c r="D28" s="777">
        <f>PulsePoint!H2</f>
        <v>15</v>
      </c>
      <c r="E28" s="777">
        <f>PulsePoint!H3</f>
        <v>15</v>
      </c>
      <c r="F28" s="777">
        <f>COUNTIF(PulsePoint!B:B,"Critical")</f>
        <v>0</v>
      </c>
      <c r="G28" s="777">
        <f>COUNTIF(PulsePoint!B:B,"Important")</f>
        <v>15</v>
      </c>
      <c r="H28" s="777">
        <f>COUNTIF(PulsePoint!B:B,"Not Needed")</f>
        <v>0</v>
      </c>
      <c r="I28" s="777">
        <f>COUNTIF(PulsePoint!B:B,"Informational")</f>
        <v>0</v>
      </c>
      <c r="J28" s="784">
        <f t="shared" si="3"/>
        <v>62</v>
      </c>
      <c r="K28" s="789">
        <f>SUM(F29/D29)</f>
        <v>0</v>
      </c>
      <c r="Q28" s="42"/>
    </row>
    <row r="29" spans="1:17" s="734" customFormat="1" ht="15" customHeight="1" x14ac:dyDescent="0.25">
      <c r="A29" s="728">
        <v>21</v>
      </c>
      <c r="B29" s="39" t="str">
        <f>'Radio Console'!A2</f>
        <v>RADIO CONSOLE</v>
      </c>
      <c r="C29" s="36">
        <f t="shared" si="4"/>
        <v>61</v>
      </c>
      <c r="D29" s="37">
        <f>'Radio Console'!H2</f>
        <v>62</v>
      </c>
      <c r="E29" s="37">
        <f>'Radio Console'!H3</f>
        <v>62</v>
      </c>
      <c r="F29" s="37">
        <f>COUNTIF('Radio Console'!B:B,"Critical")</f>
        <v>0</v>
      </c>
      <c r="G29" s="37">
        <f>COUNTIF('Radio Console'!B:B,"Important")</f>
        <v>61</v>
      </c>
      <c r="H29" s="37">
        <f>COUNTIF('Radio Console'!B:B,"Not Needed")</f>
        <v>0</v>
      </c>
      <c r="I29" s="37">
        <f>COUNTIF('Radio Console'!B:B,"Informational")</f>
        <v>1</v>
      </c>
      <c r="J29" s="732">
        <f t="shared" si="3"/>
        <v>20</v>
      </c>
      <c r="K29" s="733">
        <f>SUM(F25/D25)</f>
        <v>0</v>
      </c>
      <c r="Q29" s="735"/>
    </row>
    <row r="30" spans="1:17" s="41" customFormat="1" ht="15" customHeight="1" x14ac:dyDescent="0.25">
      <c r="A30" s="788">
        <v>22</v>
      </c>
      <c r="B30" s="775" t="str">
        <f>'Radio GPS'!A2</f>
        <v>RADIO GPS</v>
      </c>
      <c r="C30" s="776">
        <f t="shared" si="4"/>
        <v>18</v>
      </c>
      <c r="D30" s="777">
        <f>'Radio GPS'!H2</f>
        <v>20</v>
      </c>
      <c r="E30" s="777">
        <f>'Radio GPS'!H3</f>
        <v>20</v>
      </c>
      <c r="F30" s="777">
        <f>COUNTIF('Radio GPS'!B:B,"Critical")</f>
        <v>0</v>
      </c>
      <c r="G30" s="777">
        <f>COUNTIF('Radio GPS'!B:B,"Important")</f>
        <v>18</v>
      </c>
      <c r="H30" s="777">
        <f>COUNTIF('Radio GPS'!B:B,"Not Needed")</f>
        <v>0</v>
      </c>
      <c r="I30" s="777">
        <f>COUNTIF('Radio GPS'!B:B,"Informational")</f>
        <v>2</v>
      </c>
      <c r="J30" s="784">
        <f t="shared" si="3"/>
        <v>21</v>
      </c>
      <c r="K30" s="789">
        <f>SUM(F26/D26)</f>
        <v>0</v>
      </c>
      <c r="Q30" s="42"/>
    </row>
    <row r="31" spans="1:17" s="734" customFormat="1" ht="15" customHeight="1" x14ac:dyDescent="0.25">
      <c r="A31" s="728">
        <v>23</v>
      </c>
      <c r="B31" s="39" t="str">
        <f>RapidSOS!A2</f>
        <v>RAPIDSOS</v>
      </c>
      <c r="C31" s="36">
        <f t="shared" si="4"/>
        <v>20</v>
      </c>
      <c r="D31" s="37">
        <f>RapidSOS!H2</f>
        <v>21</v>
      </c>
      <c r="E31" s="37">
        <f>RapidSOS!H3</f>
        <v>21</v>
      </c>
      <c r="F31" s="37">
        <f>COUNTIF(RapidSOS!B:B,"Critical")</f>
        <v>0</v>
      </c>
      <c r="G31" s="37">
        <f>COUNTIF(RapidSOS!B:B,"Important")</f>
        <v>20</v>
      </c>
      <c r="H31" s="37">
        <f>COUNTIF(RapidSOS!B:B,"Not Needed")</f>
        <v>0</v>
      </c>
      <c r="I31" s="37">
        <f>COUNTIF(RapidSOS!B:B,"Informational")</f>
        <v>1</v>
      </c>
      <c r="J31" s="740">
        <f t="shared" si="3"/>
        <v>151</v>
      </c>
      <c r="K31" s="789">
        <f>SUM(F27/D27)</f>
        <v>0</v>
      </c>
      <c r="Q31" s="735"/>
    </row>
    <row r="32" spans="1:17" s="41" customFormat="1" ht="15" customHeight="1" x14ac:dyDescent="0.25">
      <c r="A32" s="788">
        <v>24</v>
      </c>
      <c r="B32" s="775" t="str">
        <f>VCIN!A2</f>
        <v>VCIN</v>
      </c>
      <c r="C32" s="776">
        <f t="shared" si="4"/>
        <v>153</v>
      </c>
      <c r="D32" s="777">
        <f>VCIN!H2</f>
        <v>151</v>
      </c>
      <c r="E32" s="777">
        <f>VCIN!H3</f>
        <v>151</v>
      </c>
      <c r="F32" s="777">
        <f>COUNTIF(VCIN!B:B,"Critical")</f>
        <v>1</v>
      </c>
      <c r="G32" s="777">
        <f>COUNTIF(VCIN!B:B,"Important")</f>
        <v>148</v>
      </c>
      <c r="H32" s="777">
        <f>COUNTIF(VCIN!B:B,"Not Needed")</f>
        <v>0</v>
      </c>
      <c r="I32" s="797">
        <f>COUNTIF(VCIN!B:B,"Informational")</f>
        <v>2</v>
      </c>
      <c r="J32" s="835" t="s">
        <v>53</v>
      </c>
      <c r="K32" s="789" t="s">
        <v>53</v>
      </c>
    </row>
    <row r="33" spans="1:14" s="41" customFormat="1" ht="15" customHeight="1" x14ac:dyDescent="0.25">
      <c r="A33" s="38">
        <v>25</v>
      </c>
      <c r="B33" s="45"/>
      <c r="C33" s="36"/>
      <c r="D33" s="37"/>
      <c r="E33" s="37"/>
      <c r="F33" s="37"/>
      <c r="G33" s="37"/>
      <c r="H33" s="37"/>
      <c r="I33" s="46"/>
      <c r="K33" s="44" t="s">
        <v>53</v>
      </c>
      <c r="L33" s="47">
        <f>SUM(J14:J32)</f>
        <v>733</v>
      </c>
    </row>
    <row r="34" spans="1:14" s="41" customFormat="1" ht="15" customHeight="1" x14ac:dyDescent="0.25">
      <c r="A34" s="38">
        <v>26</v>
      </c>
      <c r="B34" s="45"/>
      <c r="C34" s="36"/>
      <c r="D34" s="37"/>
      <c r="E34" s="37"/>
      <c r="F34" s="37"/>
      <c r="G34" s="37"/>
      <c r="H34" s="37"/>
      <c r="I34" s="37"/>
    </row>
    <row r="35" spans="1:14" s="41" customFormat="1" ht="15" customHeight="1" x14ac:dyDescent="0.25">
      <c r="A35" s="48">
        <v>27</v>
      </c>
      <c r="B35" s="49"/>
      <c r="C35" s="36"/>
      <c r="D35" s="37"/>
      <c r="E35" s="37"/>
      <c r="F35" s="37"/>
      <c r="G35" s="37"/>
      <c r="H35" s="37"/>
      <c r="I35" s="37"/>
      <c r="J35" s="43"/>
      <c r="K35" s="44"/>
    </row>
    <row r="36" spans="1:14" s="41" customFormat="1" ht="15" customHeight="1" x14ac:dyDescent="0.25">
      <c r="A36" s="48">
        <v>28</v>
      </c>
      <c r="B36" s="45"/>
      <c r="C36" s="36"/>
      <c r="D36" s="37"/>
      <c r="E36" s="37"/>
      <c r="F36" s="37"/>
      <c r="G36" s="37"/>
      <c r="H36" s="37"/>
      <c r="I36" s="37"/>
      <c r="J36" s="43"/>
      <c r="K36" s="44"/>
    </row>
    <row r="37" spans="1:14" s="41" customFormat="1" ht="15" customHeight="1" x14ac:dyDescent="0.25">
      <c r="A37" s="48">
        <v>29</v>
      </c>
      <c r="B37" s="45"/>
      <c r="C37" s="36"/>
      <c r="D37" s="37"/>
      <c r="E37" s="37"/>
      <c r="F37" s="37"/>
      <c r="G37" s="37"/>
      <c r="H37" s="37"/>
      <c r="I37" s="37"/>
      <c r="J37" s="43"/>
      <c r="K37" s="44"/>
    </row>
    <row r="38" spans="1:14" s="41" customFormat="1" ht="15" customHeight="1" x14ac:dyDescent="0.25">
      <c r="A38" s="48">
        <v>30</v>
      </c>
      <c r="B38" s="45"/>
      <c r="C38" s="36"/>
      <c r="D38" s="37"/>
      <c r="E38" s="37"/>
      <c r="F38" s="37"/>
      <c r="G38" s="37"/>
      <c r="H38" s="37"/>
      <c r="I38" s="37"/>
      <c r="J38" s="43"/>
      <c r="K38" s="50"/>
    </row>
    <row r="39" spans="1:14" s="41" customFormat="1" ht="15" customHeight="1" x14ac:dyDescent="0.25">
      <c r="A39" s="48">
        <v>31</v>
      </c>
      <c r="B39" s="45"/>
      <c r="C39" s="36"/>
      <c r="D39" s="37"/>
      <c r="E39" s="37"/>
      <c r="F39" s="37"/>
      <c r="G39" s="37"/>
      <c r="H39" s="37"/>
      <c r="I39" s="37"/>
      <c r="J39" s="43"/>
      <c r="K39" s="44"/>
    </row>
    <row r="40" spans="1:14" s="41" customFormat="1" ht="15" customHeight="1" x14ac:dyDescent="0.25">
      <c r="A40" s="48">
        <v>32</v>
      </c>
      <c r="B40" s="45"/>
      <c r="C40" s="36"/>
      <c r="D40" s="37"/>
      <c r="E40" s="37"/>
      <c r="F40" s="37"/>
      <c r="G40" s="37"/>
      <c r="H40" s="37"/>
      <c r="I40" s="37"/>
      <c r="J40" s="43"/>
      <c r="K40" s="44"/>
    </row>
    <row r="41" spans="1:14" s="41" customFormat="1" ht="15" customHeight="1" x14ac:dyDescent="0.25">
      <c r="A41" s="51">
        <v>33</v>
      </c>
      <c r="B41" s="45"/>
      <c r="C41" s="36"/>
      <c r="D41" s="37"/>
      <c r="E41" s="37"/>
      <c r="F41" s="37"/>
      <c r="G41" s="37"/>
      <c r="H41" s="37"/>
      <c r="I41" s="37"/>
      <c r="J41" s="43"/>
      <c r="K41" s="44"/>
    </row>
    <row r="42" spans="1:14" s="41" customFormat="1" ht="15" customHeight="1" x14ac:dyDescent="0.25">
      <c r="A42" s="52"/>
      <c r="B42" s="45"/>
      <c r="C42" s="36"/>
      <c r="D42" s="37"/>
      <c r="E42" s="37"/>
      <c r="F42" s="37"/>
      <c r="G42" s="37"/>
      <c r="H42" s="37"/>
      <c r="I42" s="37"/>
      <c r="J42" s="43"/>
      <c r="K42" s="43"/>
    </row>
    <row r="43" spans="1:14" ht="15" customHeight="1" x14ac:dyDescent="0.25">
      <c r="A43" s="53"/>
      <c r="B43" s="54"/>
      <c r="C43" s="55"/>
      <c r="D43" s="56"/>
      <c r="E43" s="56"/>
      <c r="F43" s="56"/>
      <c r="G43" s="56"/>
      <c r="H43" s="56"/>
    </row>
    <row r="44" spans="1:14" s="8" customFormat="1" ht="30" customHeight="1" x14ac:dyDescent="0.25">
      <c r="A44" s="17" t="s">
        <v>37</v>
      </c>
      <c r="B44" s="17" t="s">
        <v>38</v>
      </c>
      <c r="C44" s="17" t="s">
        <v>48</v>
      </c>
      <c r="D44" s="19" t="s">
        <v>40</v>
      </c>
      <c r="E44" s="19" t="s">
        <v>41</v>
      </c>
      <c r="F44" s="19" t="s">
        <v>49</v>
      </c>
      <c r="G44" s="19" t="s">
        <v>50</v>
      </c>
      <c r="H44" s="19" t="s">
        <v>51</v>
      </c>
      <c r="I44" s="25"/>
    </row>
    <row r="45" spans="1:14" s="8" customFormat="1" ht="15" customHeight="1" x14ac:dyDescent="0.25">
      <c r="A45" s="22" t="s">
        <v>52</v>
      </c>
      <c r="B45" s="30"/>
      <c r="C45" s="22">
        <f>SUM(C46:C64)</f>
        <v>0</v>
      </c>
      <c r="D45" s="22">
        <f>SUM(D46:D64)</f>
        <v>771</v>
      </c>
      <c r="E45" s="22">
        <f>SUM(E46:E71)</f>
        <v>771</v>
      </c>
      <c r="F45" s="22">
        <f>SUM(F46:F71)</f>
        <v>0</v>
      </c>
      <c r="G45" s="22">
        <f>SUM(G46:G71)</f>
        <v>0</v>
      </c>
      <c r="H45" s="22">
        <f>SUM(H46:H71)</f>
        <v>0</v>
      </c>
      <c r="I45" s="57">
        <f t="shared" ref="I45:I50" si="5">SUM(E45:H45)</f>
        <v>771</v>
      </c>
      <c r="J45" s="58"/>
      <c r="K45" s="58"/>
      <c r="L45" s="58"/>
      <c r="M45" s="58"/>
      <c r="N45" s="58"/>
    </row>
    <row r="46" spans="1:14" s="745" customFormat="1" ht="15" customHeight="1" x14ac:dyDescent="0.25">
      <c r="A46" s="790">
        <v>1</v>
      </c>
      <c r="B46" s="791" t="str">
        <f>'911 ALI'!A2</f>
        <v>911 ALI</v>
      </c>
      <c r="C46" s="776">
        <f>'911 ALI'!K2</f>
        <v>0</v>
      </c>
      <c r="D46" s="777">
        <f>'911 ALI'!H2</f>
        <v>50</v>
      </c>
      <c r="E46" s="777">
        <f>'911 ALI'!H3</f>
        <v>50</v>
      </c>
      <c r="F46" s="777">
        <f>'911 ALI'!H4</f>
        <v>0</v>
      </c>
      <c r="G46" s="777">
        <f>'911 ALI'!H5</f>
        <v>0</v>
      </c>
      <c r="H46" s="777">
        <f>'911 ALI'!H6</f>
        <v>0</v>
      </c>
      <c r="I46" s="792">
        <f t="shared" si="5"/>
        <v>50</v>
      </c>
      <c r="L46" s="746"/>
      <c r="N46" s="747"/>
    </row>
    <row r="47" spans="1:14" s="751" customFormat="1" ht="15" customHeight="1" x14ac:dyDescent="0.25">
      <c r="A47" s="748">
        <v>4</v>
      </c>
      <c r="B47" s="749" t="str">
        <f>AXON!A2</f>
        <v>AXON</v>
      </c>
      <c r="C47" s="737">
        <f>AXON!K2</f>
        <v>0</v>
      </c>
      <c r="D47" s="738">
        <f>AXON!H2</f>
        <v>8</v>
      </c>
      <c r="E47" s="738">
        <f>AXON!H3</f>
        <v>8</v>
      </c>
      <c r="F47" s="738">
        <f>AXON!H4</f>
        <v>0</v>
      </c>
      <c r="G47" s="738">
        <f>AXON!H5</f>
        <v>0</v>
      </c>
      <c r="H47" s="738">
        <f>AXON!H6</f>
        <v>0</v>
      </c>
      <c r="I47" s="750">
        <f t="shared" si="5"/>
        <v>8</v>
      </c>
      <c r="J47" s="58"/>
      <c r="K47" s="58"/>
      <c r="L47" s="43"/>
      <c r="M47" s="58"/>
      <c r="N47" s="61"/>
    </row>
    <row r="48" spans="1:14" s="745" customFormat="1" ht="15" customHeight="1" x14ac:dyDescent="0.25">
      <c r="A48" s="790">
        <v>5</v>
      </c>
      <c r="B48" s="795" t="str">
        <f>CAD2CAD!A2</f>
        <v>CAD2CAD</v>
      </c>
      <c r="C48" s="776">
        <f>CAD2CAD!K2</f>
        <v>0</v>
      </c>
      <c r="D48" s="777">
        <f>CAD2CAD!H2</f>
        <v>9</v>
      </c>
      <c r="E48" s="777">
        <f>CAD2CAD!H3</f>
        <v>9</v>
      </c>
      <c r="F48" s="777">
        <f>CAD2CAD!H4</f>
        <v>0</v>
      </c>
      <c r="G48" s="777">
        <f>CAD2CAD!H5</f>
        <v>0</v>
      </c>
      <c r="H48" s="777">
        <f>CAD2CAD!H6</f>
        <v>0</v>
      </c>
      <c r="I48" s="792">
        <f t="shared" si="5"/>
        <v>9</v>
      </c>
      <c r="L48" s="746"/>
      <c r="N48" s="747"/>
    </row>
    <row r="49" spans="1:14" s="751" customFormat="1" ht="15" customHeight="1" x14ac:dyDescent="0.25">
      <c r="A49" s="748">
        <v>6</v>
      </c>
      <c r="B49" s="749" t="str">
        <f>CarFax!A2</f>
        <v>CARFAX</v>
      </c>
      <c r="C49" s="737">
        <f>CarFax!K2</f>
        <v>0</v>
      </c>
      <c r="D49" s="738">
        <f>CarFax!H2</f>
        <v>20</v>
      </c>
      <c r="E49" s="738">
        <f>CarFax!H3</f>
        <v>20</v>
      </c>
      <c r="F49" s="738">
        <f>CarFax!H4</f>
        <v>0</v>
      </c>
      <c r="G49" s="738">
        <f>CarFax!H5</f>
        <v>0</v>
      </c>
      <c r="H49" s="738">
        <f>CarFax!H6</f>
        <v>0</v>
      </c>
      <c r="I49" s="750">
        <f t="shared" si="5"/>
        <v>20</v>
      </c>
      <c r="J49" s="58"/>
      <c r="K49" s="58"/>
      <c r="L49" s="43"/>
      <c r="M49" s="58"/>
      <c r="N49" s="61"/>
    </row>
    <row r="50" spans="1:14" s="751" customFormat="1" ht="15" customHeight="1" x14ac:dyDescent="0.25">
      <c r="A50" s="748">
        <v>8</v>
      </c>
      <c r="B50" s="742" t="str">
        <f>Drones!A2</f>
        <v>DRONES</v>
      </c>
      <c r="C50" s="730">
        <f>Drones!K3</f>
        <v>0</v>
      </c>
      <c r="D50" s="731">
        <f>Drones!H2</f>
        <v>38</v>
      </c>
      <c r="E50" s="731">
        <f>Drones!H3</f>
        <v>38</v>
      </c>
      <c r="F50" s="731">
        <f>Drones!H4</f>
        <v>0</v>
      </c>
      <c r="G50" s="731">
        <f>Drones!H5</f>
        <v>0</v>
      </c>
      <c r="H50" s="731">
        <f>Drones!H6</f>
        <v>0</v>
      </c>
      <c r="I50" s="744">
        <f t="shared" si="5"/>
        <v>38</v>
      </c>
      <c r="K50" s="58"/>
      <c r="L50" s="43"/>
      <c r="M50" s="58"/>
      <c r="N50" s="61"/>
    </row>
    <row r="51" spans="1:14" s="745" customFormat="1" ht="15" customHeight="1" x14ac:dyDescent="0.25">
      <c r="A51" s="790">
        <v>9</v>
      </c>
      <c r="B51" s="796" t="str">
        <f>'TREDS Crash'!A2</f>
        <v>TREDS CRASH</v>
      </c>
      <c r="C51" s="783">
        <f>'TREDS Crash'!K2</f>
        <v>0</v>
      </c>
      <c r="D51" s="783">
        <f>'TREDS Crash'!H2</f>
        <v>22</v>
      </c>
      <c r="E51" s="783">
        <f>'TREDS Crash'!H3</f>
        <v>22</v>
      </c>
      <c r="F51" s="783">
        <f>'TREDS Crash'!H4</f>
        <v>0</v>
      </c>
      <c r="G51" s="783">
        <f>'TREDS Crash'!H5</f>
        <v>0</v>
      </c>
      <c r="H51" s="783">
        <f>'TREDS Crash'!H6</f>
        <v>0</v>
      </c>
      <c r="I51" s="794">
        <f t="shared" ref="I51:I64" si="6">SUM(E51:H51)</f>
        <v>22</v>
      </c>
      <c r="J51" s="58"/>
      <c r="L51" s="746"/>
      <c r="N51" s="747"/>
    </row>
    <row r="52" spans="1:14" s="751" customFormat="1" ht="15" customHeight="1" x14ac:dyDescent="0.25">
      <c r="A52" s="748">
        <v>10</v>
      </c>
      <c r="B52" s="752" t="str">
        <f>'eCitation DMV '!A2</f>
        <v>eCITATION</v>
      </c>
      <c r="C52" s="730">
        <f>'eCitation DMV '!K2</f>
        <v>0</v>
      </c>
      <c r="D52" s="731">
        <f>'eCitation DMV '!H2</f>
        <v>22</v>
      </c>
      <c r="E52" s="731">
        <f>'eCitation DMV '!H3</f>
        <v>22</v>
      </c>
      <c r="F52" s="731">
        <f>'eCitation DMV '!H4</f>
        <v>0</v>
      </c>
      <c r="G52" s="731">
        <f>'eCitation DMV '!H5</f>
        <v>0</v>
      </c>
      <c r="H52" s="731">
        <f>'eCitation DMV '!H6</f>
        <v>0</v>
      </c>
      <c r="I52" s="744">
        <f t="shared" si="6"/>
        <v>22</v>
      </c>
      <c r="J52" s="745"/>
      <c r="K52" s="58"/>
      <c r="L52" s="43"/>
      <c r="M52" s="58"/>
      <c r="N52" s="61"/>
    </row>
    <row r="53" spans="1:14" s="745" customFormat="1" ht="15" customHeight="1" x14ac:dyDescent="0.25">
      <c r="A53" s="790">
        <v>11</v>
      </c>
      <c r="B53" s="793" t="str">
        <f>EMD!A2</f>
        <v>EMD</v>
      </c>
      <c r="C53" s="782">
        <f>EMD!K2</f>
        <v>0</v>
      </c>
      <c r="D53" s="783">
        <f>EMD!H2</f>
        <v>25</v>
      </c>
      <c r="E53" s="783">
        <f>EMD!H3</f>
        <v>25</v>
      </c>
      <c r="F53" s="783">
        <f>EMD!H4</f>
        <v>0</v>
      </c>
      <c r="G53" s="783">
        <f>EMD!H5</f>
        <v>0</v>
      </c>
      <c r="H53" s="783">
        <f>EMD!H6</f>
        <v>0</v>
      </c>
      <c r="I53" s="794">
        <f t="shared" si="6"/>
        <v>25</v>
      </c>
      <c r="J53" s="58"/>
      <c r="L53" s="746"/>
      <c r="N53" s="747"/>
    </row>
    <row r="54" spans="1:14" s="751" customFormat="1" ht="15" customHeight="1" x14ac:dyDescent="0.25">
      <c r="A54" s="748">
        <v>12</v>
      </c>
      <c r="B54" s="752" t="str">
        <f>ePCR!A2</f>
        <v>ePCR</v>
      </c>
      <c r="C54" s="730">
        <f>ePCR!K2</f>
        <v>0</v>
      </c>
      <c r="D54" s="731">
        <f>ePCR!H2</f>
        <v>54</v>
      </c>
      <c r="E54" s="731">
        <f>ePCR!H3</f>
        <v>54</v>
      </c>
      <c r="F54" s="731">
        <f>ePCR!H4</f>
        <v>0</v>
      </c>
      <c r="G54" s="731">
        <f>ePCR!H5</f>
        <v>0</v>
      </c>
      <c r="H54" s="731">
        <f>ePCR!H6</f>
        <v>0</v>
      </c>
      <c r="I54" s="744">
        <f t="shared" si="6"/>
        <v>54</v>
      </c>
      <c r="J54" s="745"/>
      <c r="K54" s="58"/>
      <c r="L54" s="43"/>
      <c r="M54" s="58"/>
      <c r="N54" s="61"/>
    </row>
    <row r="55" spans="1:14" s="751" customFormat="1" ht="15" customHeight="1" x14ac:dyDescent="0.25">
      <c r="A55" s="748">
        <v>14</v>
      </c>
      <c r="B55" s="752" t="str">
        <f>'FRMS Export'!A2</f>
        <v>FRMS EXPORT</v>
      </c>
      <c r="C55" s="730">
        <f>'FRMS Export'!K2</f>
        <v>0</v>
      </c>
      <c r="D55" s="731">
        <f>'FRMS Export'!H2</f>
        <v>46</v>
      </c>
      <c r="E55" s="731">
        <f>'FRMS Export'!H3</f>
        <v>46</v>
      </c>
      <c r="F55" s="731">
        <f>'FRMS Export'!H4</f>
        <v>0</v>
      </c>
      <c r="G55" s="731">
        <f>'FRMS Export'!H5</f>
        <v>0</v>
      </c>
      <c r="H55" s="731">
        <f>'FRMS Export'!H6</f>
        <v>0</v>
      </c>
      <c r="I55" s="744">
        <f t="shared" si="6"/>
        <v>46</v>
      </c>
      <c r="J55" s="745"/>
      <c r="K55" s="58"/>
      <c r="L55" s="43"/>
      <c r="M55" s="58"/>
      <c r="N55" s="61"/>
    </row>
    <row r="56" spans="1:14" s="745" customFormat="1" ht="15" customHeight="1" x14ac:dyDescent="0.25">
      <c r="A56" s="790">
        <v>15</v>
      </c>
      <c r="B56" s="793" t="str">
        <f>Livescan!A2</f>
        <v>LIVESCAN</v>
      </c>
      <c r="C56" s="782">
        <f>Livescan!K2</f>
        <v>0</v>
      </c>
      <c r="D56" s="783">
        <f>Livescan!H2</f>
        <v>19</v>
      </c>
      <c r="E56" s="783">
        <f>Livescan!H3</f>
        <v>19</v>
      </c>
      <c r="F56" s="783">
        <f>Livescan!H4</f>
        <v>0</v>
      </c>
      <c r="G56" s="783">
        <f>Livescan!H5</f>
        <v>0</v>
      </c>
      <c r="H56" s="783">
        <f>Livescan!H6</f>
        <v>0</v>
      </c>
      <c r="I56" s="794">
        <f t="shared" si="6"/>
        <v>19</v>
      </c>
      <c r="J56" s="58"/>
      <c r="L56" s="746"/>
      <c r="N56" s="747"/>
    </row>
    <row r="57" spans="1:14" s="751" customFormat="1" ht="15" customHeight="1" x14ac:dyDescent="0.25">
      <c r="A57" s="748">
        <v>16</v>
      </c>
      <c r="B57" s="752" t="str">
        <f>'NG911'!A2</f>
        <v>NG911</v>
      </c>
      <c r="C57" s="730">
        <f>'NG911'!K2</f>
        <v>0</v>
      </c>
      <c r="D57" s="731">
        <f>'NG911'!H2</f>
        <v>76</v>
      </c>
      <c r="E57" s="731">
        <f>'NG911'!H3</f>
        <v>76</v>
      </c>
      <c r="F57" s="731">
        <f>'NG911'!H4</f>
        <v>0</v>
      </c>
      <c r="G57" s="731">
        <f>'NG911'!H5</f>
        <v>0</v>
      </c>
      <c r="H57" s="731">
        <f>'NG911'!H6</f>
        <v>0</v>
      </c>
      <c r="I57" s="744">
        <f t="shared" si="6"/>
        <v>76</v>
      </c>
      <c r="J57" s="745"/>
      <c r="K57" s="58"/>
      <c r="L57" s="43"/>
      <c r="M57" s="58"/>
      <c r="N57" s="61"/>
    </row>
    <row r="58" spans="1:14" s="745" customFormat="1" ht="15" customHeight="1" x14ac:dyDescent="0.25">
      <c r="A58" s="790">
        <v>17</v>
      </c>
      <c r="B58" s="793" t="s">
        <v>927</v>
      </c>
      <c r="C58" s="782">
        <f>NIBRS!K2</f>
        <v>0</v>
      </c>
      <c r="D58" s="783">
        <f>NIBRS!H2</f>
        <v>25</v>
      </c>
      <c r="E58" s="783">
        <f>NIBRS!H3</f>
        <v>25</v>
      </c>
      <c r="F58" s="783">
        <f>NIBRS!H4</f>
        <v>0</v>
      </c>
      <c r="G58" s="783">
        <f>NIBRS!H5</f>
        <v>0</v>
      </c>
      <c r="H58" s="783">
        <f>NIBRS!H6</f>
        <v>0</v>
      </c>
      <c r="I58" s="794">
        <f t="shared" si="6"/>
        <v>25</v>
      </c>
      <c r="J58" s="58"/>
      <c r="L58" s="746"/>
      <c r="N58" s="747"/>
    </row>
    <row r="59" spans="1:14" s="745" customFormat="1" ht="15" customHeight="1" x14ac:dyDescent="0.25">
      <c r="A59" s="790">
        <v>19</v>
      </c>
      <c r="B59" s="793" t="str">
        <f>Paging!A2</f>
        <v>PAGING</v>
      </c>
      <c r="C59" s="782">
        <f>Paging!K2</f>
        <v>0</v>
      </c>
      <c r="D59" s="783">
        <f>Paging!H2</f>
        <v>88</v>
      </c>
      <c r="E59" s="783">
        <f>Paging!H3</f>
        <v>88</v>
      </c>
      <c r="F59" s="783">
        <f>Paging!H4</f>
        <v>0</v>
      </c>
      <c r="G59" s="783">
        <f>Paging!H5</f>
        <v>0</v>
      </c>
      <c r="H59" s="783">
        <f>Paging!H6</f>
        <v>0</v>
      </c>
      <c r="I59" s="794">
        <f t="shared" si="6"/>
        <v>88</v>
      </c>
      <c r="J59" s="58"/>
      <c r="L59" s="746"/>
      <c r="N59" s="747"/>
    </row>
    <row r="60" spans="1:14" s="751" customFormat="1" ht="15" customHeight="1" x14ac:dyDescent="0.25">
      <c r="A60" s="748">
        <v>20</v>
      </c>
      <c r="B60" s="752" t="str">
        <f>PulsePoint!A2</f>
        <v>PULSEPOINT</v>
      </c>
      <c r="C60" s="730">
        <f>PulsePoint!K2</f>
        <v>0</v>
      </c>
      <c r="D60" s="731">
        <f>PulsePoint!H2</f>
        <v>15</v>
      </c>
      <c r="E60" s="731">
        <f>PulsePoint!H3</f>
        <v>15</v>
      </c>
      <c r="F60" s="731">
        <f>PulsePoint!H4</f>
        <v>0</v>
      </c>
      <c r="G60" s="731">
        <f>PulsePoint!H5</f>
        <v>0</v>
      </c>
      <c r="H60" s="731">
        <f>PulsePoint!H6</f>
        <v>0</v>
      </c>
      <c r="I60" s="744">
        <f t="shared" si="6"/>
        <v>15</v>
      </c>
      <c r="J60" s="745"/>
      <c r="K60" s="58"/>
      <c r="L60" s="43"/>
      <c r="M60" s="58"/>
      <c r="N60" s="61"/>
    </row>
    <row r="61" spans="1:14" s="745" customFormat="1" ht="15" customHeight="1" x14ac:dyDescent="0.25">
      <c r="A61" s="790">
        <v>21</v>
      </c>
      <c r="B61" s="793" t="str">
        <f>'Radio Console'!A2</f>
        <v>RADIO CONSOLE</v>
      </c>
      <c r="C61" s="782">
        <f>'Radio Console'!K2</f>
        <v>0</v>
      </c>
      <c r="D61" s="783">
        <f>'Radio Console'!H2</f>
        <v>62</v>
      </c>
      <c r="E61" s="783">
        <f>'Radio Console'!H3</f>
        <v>62</v>
      </c>
      <c r="F61" s="783">
        <f>'Radio Console'!H4</f>
        <v>0</v>
      </c>
      <c r="G61" s="783">
        <f>'Radio Console'!H6</f>
        <v>0</v>
      </c>
      <c r="H61" s="783">
        <f>'Radio Console'!H6</f>
        <v>0</v>
      </c>
      <c r="I61" s="794">
        <f t="shared" si="6"/>
        <v>62</v>
      </c>
      <c r="J61" s="58"/>
      <c r="L61" s="746"/>
      <c r="N61" s="747"/>
    </row>
    <row r="62" spans="1:14" s="751" customFormat="1" ht="15" customHeight="1" x14ac:dyDescent="0.25">
      <c r="A62" s="748">
        <v>22</v>
      </c>
      <c r="B62" s="752" t="str">
        <f>'Radio GPS'!A2</f>
        <v>RADIO GPS</v>
      </c>
      <c r="C62" s="730">
        <f>'Radio GPS'!K2</f>
        <v>0</v>
      </c>
      <c r="D62" s="731">
        <f>'Radio GPS'!H2</f>
        <v>20</v>
      </c>
      <c r="E62" s="731">
        <f>'Radio GPS'!H3</f>
        <v>20</v>
      </c>
      <c r="F62" s="731">
        <f>'Radio GPS'!H4</f>
        <v>0</v>
      </c>
      <c r="G62" s="731">
        <f>'Radio GPS'!H5</f>
        <v>0</v>
      </c>
      <c r="H62" s="731">
        <f>'Radio GPS'!H6</f>
        <v>0</v>
      </c>
      <c r="I62" s="744">
        <f t="shared" si="6"/>
        <v>20</v>
      </c>
      <c r="J62" s="745"/>
      <c r="K62" s="58"/>
      <c r="L62" s="43"/>
      <c r="M62" s="58"/>
      <c r="N62" s="61"/>
    </row>
    <row r="63" spans="1:14" s="745" customFormat="1" ht="15" customHeight="1" x14ac:dyDescent="0.25">
      <c r="A63" s="790">
        <v>23</v>
      </c>
      <c r="B63" s="793" t="str">
        <f>RapidSOS!A2</f>
        <v>RAPIDSOS</v>
      </c>
      <c r="C63" s="782">
        <f>RapidSOS!K2</f>
        <v>0</v>
      </c>
      <c r="D63" s="783">
        <f>RapidSOS!H2</f>
        <v>21</v>
      </c>
      <c r="E63" s="783">
        <f>RapidSOS!H3</f>
        <v>21</v>
      </c>
      <c r="F63" s="783">
        <f>RapidSOS!H4</f>
        <v>0</v>
      </c>
      <c r="G63" s="783">
        <f>RapidSOS!H5</f>
        <v>0</v>
      </c>
      <c r="H63" s="783">
        <f>RapidSOS!H6</f>
        <v>0</v>
      </c>
      <c r="I63" s="794">
        <f t="shared" si="6"/>
        <v>21</v>
      </c>
      <c r="J63" s="58"/>
      <c r="L63" s="746"/>
      <c r="N63" s="747"/>
    </row>
    <row r="64" spans="1:14" s="751" customFormat="1" ht="15" customHeight="1" x14ac:dyDescent="0.25">
      <c r="A64" s="737">
        <v>24</v>
      </c>
      <c r="B64" s="752" t="str">
        <f>VCIN!A2</f>
        <v>VCIN</v>
      </c>
      <c r="C64" s="730">
        <f>VCIN!K2</f>
        <v>0</v>
      </c>
      <c r="D64" s="731">
        <f>VCIN!H2</f>
        <v>151</v>
      </c>
      <c r="E64" s="731">
        <f>VCIN!H3</f>
        <v>151</v>
      </c>
      <c r="F64" s="731">
        <f>VCIN!H4</f>
        <v>0</v>
      </c>
      <c r="G64" s="731">
        <f>VCIN!H5</f>
        <v>0</v>
      </c>
      <c r="H64" s="741">
        <f>VCIN!H6</f>
        <v>0</v>
      </c>
      <c r="I64" s="744">
        <f t="shared" si="6"/>
        <v>151</v>
      </c>
      <c r="J64" s="745"/>
      <c r="K64" s="58"/>
      <c r="L64" s="43"/>
      <c r="M64" s="58"/>
      <c r="N64" s="61"/>
    </row>
    <row r="65" spans="1:14" s="58" customFormat="1" ht="15" customHeight="1" x14ac:dyDescent="0.25">
      <c r="A65" s="787">
        <v>25</v>
      </c>
      <c r="B65" s="833"/>
      <c r="C65" s="833"/>
      <c r="D65" s="833"/>
      <c r="E65" s="833"/>
      <c r="F65" s="833"/>
      <c r="G65" s="833"/>
      <c r="H65" s="833"/>
      <c r="I65" s="833"/>
      <c r="J65" s="834">
        <f>SUM(I46:I64)</f>
        <v>771</v>
      </c>
      <c r="N65" s="61"/>
    </row>
    <row r="66" spans="1:14" s="751" customFormat="1" ht="15" customHeight="1" x14ac:dyDescent="0.25">
      <c r="A66" s="748">
        <v>26</v>
      </c>
      <c r="B66" s="753"/>
      <c r="C66" s="753"/>
      <c r="D66" s="753"/>
      <c r="E66" s="753"/>
      <c r="F66" s="753"/>
      <c r="G66" s="753"/>
      <c r="H66" s="753"/>
    </row>
    <row r="67" spans="1:14" s="8" customFormat="1" ht="15" customHeight="1" x14ac:dyDescent="0.25">
      <c r="A67" s="59">
        <v>27</v>
      </c>
      <c r="B67" s="62"/>
      <c r="C67" s="62"/>
      <c r="D67" s="62"/>
      <c r="E67" s="62"/>
      <c r="F67" s="62"/>
      <c r="G67" s="62"/>
      <c r="H67" s="62"/>
      <c r="I67" s="63"/>
    </row>
    <row r="68" spans="1:14" s="8" customFormat="1" ht="15" customHeight="1" x14ac:dyDescent="0.25">
      <c r="A68" s="59">
        <v>28</v>
      </c>
      <c r="B68" s="62"/>
      <c r="C68" s="62"/>
      <c r="D68" s="62"/>
      <c r="E68" s="62"/>
      <c r="F68" s="62"/>
      <c r="G68" s="62"/>
      <c r="H68" s="62"/>
      <c r="I68" s="63"/>
    </row>
    <row r="69" spans="1:14" s="8" customFormat="1" ht="15" customHeight="1" x14ac:dyDescent="0.25">
      <c r="A69" s="59">
        <v>29</v>
      </c>
      <c r="B69" s="62"/>
      <c r="C69" s="62"/>
      <c r="D69" s="62"/>
      <c r="E69" s="62"/>
      <c r="F69" s="62"/>
      <c r="G69" s="62"/>
      <c r="H69" s="62"/>
      <c r="I69" s="63"/>
    </row>
    <row r="70" spans="1:14" s="8" customFormat="1" ht="15" customHeight="1" x14ac:dyDescent="0.25">
      <c r="A70" s="59">
        <v>30</v>
      </c>
      <c r="B70" s="62"/>
      <c r="C70" s="62"/>
      <c r="D70" s="62"/>
      <c r="E70" s="62"/>
      <c r="F70" s="62"/>
      <c r="G70" s="62"/>
      <c r="H70" s="62"/>
      <c r="I70" s="63"/>
    </row>
    <row r="71" spans="1:14" s="8" customFormat="1" ht="15" customHeight="1" x14ac:dyDescent="0.25">
      <c r="A71" s="59">
        <v>31</v>
      </c>
      <c r="B71" s="60"/>
      <c r="C71" s="62"/>
      <c r="D71" s="62"/>
      <c r="E71" s="62"/>
      <c r="F71" s="62"/>
      <c r="G71" s="62"/>
      <c r="H71" s="62"/>
      <c r="I71" s="63"/>
    </row>
    <row r="72" spans="1:14" s="8" customFormat="1" ht="15" customHeight="1" x14ac:dyDescent="0.25">
      <c r="A72" s="59">
        <v>32</v>
      </c>
      <c r="B72" s="62"/>
      <c r="C72" s="62"/>
      <c r="D72" s="62"/>
      <c r="E72" s="62"/>
      <c r="F72" s="62"/>
      <c r="G72" s="62"/>
      <c r="H72" s="62"/>
      <c r="I72" s="63"/>
    </row>
    <row r="73" spans="1:14" ht="15" customHeight="1" x14ac:dyDescent="0.25">
      <c r="A73" s="64">
        <v>33</v>
      </c>
      <c r="B73" s="65"/>
      <c r="C73" s="33"/>
      <c r="D73" s="34"/>
      <c r="E73" s="34"/>
      <c r="F73" s="34"/>
      <c r="G73" s="34"/>
      <c r="H73" s="34"/>
      <c r="I73" s="63"/>
      <c r="K73" s="66"/>
    </row>
    <row r="75" spans="1:14" ht="41.4" x14ac:dyDescent="0.25">
      <c r="A75" s="67" t="s">
        <v>37</v>
      </c>
      <c r="B75" s="67" t="s">
        <v>38</v>
      </c>
      <c r="C75" s="67" t="s">
        <v>48</v>
      </c>
      <c r="D75" s="68" t="s">
        <v>54</v>
      </c>
      <c r="E75" s="68" t="s">
        <v>55</v>
      </c>
      <c r="F75" s="68" t="s">
        <v>56</v>
      </c>
      <c r="G75" s="68" t="s">
        <v>57</v>
      </c>
      <c r="H75" s="68" t="s">
        <v>58</v>
      </c>
    </row>
    <row r="76" spans="1:14" ht="13.8" x14ac:dyDescent="0.25">
      <c r="A76" s="69" t="s">
        <v>52</v>
      </c>
      <c r="B76" s="70"/>
      <c r="C76" s="69">
        <f>SUM(C77:C95)</f>
        <v>0</v>
      </c>
      <c r="D76" s="71">
        <f>SUM(D77:D100)</f>
        <v>13</v>
      </c>
      <c r="E76" s="71">
        <f>SUM(E77:E100)</f>
        <v>13</v>
      </c>
      <c r="F76" s="71">
        <f>SUM(F77:F100)</f>
        <v>0</v>
      </c>
      <c r="G76" s="71">
        <f>SUM(G77:G100)</f>
        <v>0</v>
      </c>
      <c r="H76" s="71">
        <f>SUM(H77:H100)</f>
        <v>0</v>
      </c>
      <c r="I76" s="57">
        <f t="shared" ref="I76:I80" si="7">SUM(E76:H76)</f>
        <v>13</v>
      </c>
      <c r="J76" s="8"/>
      <c r="K76" s="8"/>
      <c r="L76" s="8"/>
      <c r="M76" s="8"/>
    </row>
    <row r="77" spans="1:14" s="734" customFormat="1" ht="13.8" x14ac:dyDescent="0.25">
      <c r="A77" s="798">
        <v>1</v>
      </c>
      <c r="B77" s="799" t="str">
        <f>'911 ALI'!A2</f>
        <v>911 ALI</v>
      </c>
      <c r="C77" s="800">
        <f>'911 ALI'!K2</f>
        <v>0</v>
      </c>
      <c r="D77" s="801">
        <f>COUNTIF('911 ALI'!B:B,"Critical")</f>
        <v>3</v>
      </c>
      <c r="E77" s="801">
        <f>'911 ALI'!H7</f>
        <v>3</v>
      </c>
      <c r="F77" s="801">
        <f>'911 ALI'!H8</f>
        <v>0</v>
      </c>
      <c r="G77" s="801">
        <f>'911 ALI'!H9</f>
        <v>0</v>
      </c>
      <c r="H77" s="801">
        <f>'911 ALI'!H10</f>
        <v>0</v>
      </c>
      <c r="I77" s="792">
        <f t="shared" si="7"/>
        <v>3</v>
      </c>
      <c r="J77" s="745"/>
      <c r="K77" s="745"/>
      <c r="L77" s="746"/>
      <c r="M77" s="745"/>
    </row>
    <row r="78" spans="1:14" s="739" customFormat="1" ht="13.8" x14ac:dyDescent="0.25">
      <c r="A78" s="756">
        <v>4</v>
      </c>
      <c r="B78" s="757" t="str">
        <f>AXON!A2</f>
        <v>AXON</v>
      </c>
      <c r="C78" s="758">
        <f>AXON!K2</f>
        <v>0</v>
      </c>
      <c r="D78" s="759">
        <f>COUNTIF(AXON!B:B,"Critical")</f>
        <v>0</v>
      </c>
      <c r="E78" s="759">
        <f>AXON!H7</f>
        <v>0</v>
      </c>
      <c r="F78" s="759">
        <f>AXON!H8</f>
        <v>0</v>
      </c>
      <c r="G78" s="759">
        <f>AXON!H9</f>
        <v>0</v>
      </c>
      <c r="H78" s="759">
        <f>AXON!H10</f>
        <v>0</v>
      </c>
      <c r="I78" s="750">
        <f t="shared" si="7"/>
        <v>0</v>
      </c>
      <c r="J78" s="751"/>
      <c r="K78" s="751"/>
      <c r="L78" s="43"/>
      <c r="M78" s="751"/>
    </row>
    <row r="79" spans="1:14" s="734" customFormat="1" ht="13.8" x14ac:dyDescent="0.25">
      <c r="A79" s="798">
        <v>5</v>
      </c>
      <c r="B79" s="805" t="str">
        <f>CAD2CAD!A2</f>
        <v>CAD2CAD</v>
      </c>
      <c r="C79" s="800">
        <f>CAD2CAD!K2</f>
        <v>0</v>
      </c>
      <c r="D79" s="801">
        <f>COUNTIF(CAD2CAD!B:B,"Critical")</f>
        <v>9</v>
      </c>
      <c r="E79" s="801">
        <f>CAD2CAD!H7</f>
        <v>9</v>
      </c>
      <c r="F79" s="801">
        <f>CAD2CAD!H8</f>
        <v>0</v>
      </c>
      <c r="G79" s="801">
        <f>CAD2CAD!H9</f>
        <v>0</v>
      </c>
      <c r="H79" s="801">
        <f>CAD2CAD!H10</f>
        <v>0</v>
      </c>
      <c r="I79" s="792">
        <f t="shared" si="7"/>
        <v>9</v>
      </c>
      <c r="J79" s="745"/>
      <c r="K79" s="745"/>
      <c r="L79" s="746"/>
      <c r="M79" s="745"/>
    </row>
    <row r="80" spans="1:14" s="739" customFormat="1" ht="13.8" x14ac:dyDescent="0.25">
      <c r="A80" s="756">
        <v>6</v>
      </c>
      <c r="B80" s="757" t="str">
        <f>CarFax!A2</f>
        <v>CARFAX</v>
      </c>
      <c r="C80" s="758">
        <f>CarFax!K2</f>
        <v>0</v>
      </c>
      <c r="D80" s="759">
        <f>COUNTIF(CarFax!B:B,"Critical")</f>
        <v>0</v>
      </c>
      <c r="E80" s="759">
        <f>CarFax!H7</f>
        <v>0</v>
      </c>
      <c r="F80" s="759">
        <f>CarFax!H8</f>
        <v>0</v>
      </c>
      <c r="G80" s="759">
        <f>CarFax!H9</f>
        <v>0</v>
      </c>
      <c r="H80" s="759">
        <f>CarFax!H10</f>
        <v>0</v>
      </c>
      <c r="I80" s="750">
        <f t="shared" si="7"/>
        <v>0</v>
      </c>
      <c r="J80" s="751"/>
      <c r="K80" s="751"/>
      <c r="L80" s="43"/>
      <c r="M80" s="751"/>
    </row>
    <row r="81" spans="1:13" s="739" customFormat="1" ht="13.8" x14ac:dyDescent="0.25">
      <c r="A81" s="756">
        <v>8</v>
      </c>
      <c r="B81" s="760" t="str">
        <f>Drones!A2</f>
        <v>DRONES</v>
      </c>
      <c r="C81" s="754">
        <f>Drones!K2</f>
        <v>0</v>
      </c>
      <c r="D81" s="755">
        <f>COUNTIF(Drones!B:B,"Critical")</f>
        <v>0</v>
      </c>
      <c r="E81" s="755">
        <f>Drones!H7</f>
        <v>0</v>
      </c>
      <c r="F81" s="755">
        <f>Drones!H8</f>
        <v>0</v>
      </c>
      <c r="G81" s="755">
        <f>Drones!H9</f>
        <v>0</v>
      </c>
      <c r="H81" s="755">
        <f>Drones!H10</f>
        <v>0</v>
      </c>
      <c r="I81" s="744">
        <f t="shared" ref="I81" si="8">SUM(E81:H81)</f>
        <v>0</v>
      </c>
      <c r="K81" s="751"/>
      <c r="L81" s="43"/>
      <c r="M81" s="751"/>
    </row>
    <row r="82" spans="1:13" s="734" customFormat="1" ht="13.8" x14ac:dyDescent="0.25">
      <c r="A82" s="798">
        <v>9</v>
      </c>
      <c r="B82" s="806" t="str">
        <f>'TREDS Crash'!A2</f>
        <v>TREDS CRASH</v>
      </c>
      <c r="C82" s="804">
        <f>'TREDS Crash'!K31</f>
        <v>0</v>
      </c>
      <c r="D82" s="804">
        <f>COUNTIF('TREDS Crash'!B:B,"Critical")</f>
        <v>0</v>
      </c>
      <c r="E82" s="804">
        <f>'TREDS Crash'!H7</f>
        <v>0</v>
      </c>
      <c r="F82" s="804">
        <f>'TREDS Crash'!H8</f>
        <v>0</v>
      </c>
      <c r="G82" s="804">
        <f>'TREDS Crash'!H9</f>
        <v>0</v>
      </c>
      <c r="H82" s="804">
        <f>'TREDS Crash'!H10</f>
        <v>0</v>
      </c>
      <c r="I82" s="807">
        <f t="shared" ref="I82:I95" si="9">SUM(E82:H82)</f>
        <v>0</v>
      </c>
      <c r="J82" s="751"/>
      <c r="K82" s="745"/>
      <c r="L82" s="746"/>
      <c r="M82" s="745"/>
    </row>
    <row r="83" spans="1:13" s="739" customFormat="1" ht="13.8" x14ac:dyDescent="0.25">
      <c r="A83" s="756">
        <v>10</v>
      </c>
      <c r="B83" s="760" t="str">
        <f>'eCitation DMV '!A2</f>
        <v>eCITATION</v>
      </c>
      <c r="C83" s="754">
        <f>'eCitation DMV '!K2</f>
        <v>0</v>
      </c>
      <c r="D83" s="755">
        <f>COUNTIF('eCitation DMV '!B:B,"Critical")</f>
        <v>0</v>
      </c>
      <c r="E83" s="755">
        <f>'eCitation DMV '!H7</f>
        <v>0</v>
      </c>
      <c r="F83" s="755">
        <f>'eCitation DMV '!H8</f>
        <v>0</v>
      </c>
      <c r="G83" s="755">
        <f>'eCitation DMV '!H9</f>
        <v>0</v>
      </c>
      <c r="H83" s="755">
        <f>'eCitation DMV '!H10</f>
        <v>0</v>
      </c>
      <c r="I83" s="744">
        <f t="shared" si="9"/>
        <v>0</v>
      </c>
      <c r="J83" s="745"/>
      <c r="K83" s="751"/>
      <c r="L83" s="43"/>
      <c r="M83" s="751"/>
    </row>
    <row r="84" spans="1:13" s="734" customFormat="1" ht="13.8" x14ac:dyDescent="0.25">
      <c r="A84" s="798">
        <v>11</v>
      </c>
      <c r="B84" s="802" t="str">
        <f>EMD!A2</f>
        <v>EMD</v>
      </c>
      <c r="C84" s="803">
        <f>EMD!K2</f>
        <v>0</v>
      </c>
      <c r="D84" s="804">
        <f>COUNTIF(EMD!B:B,"Critical")</f>
        <v>0</v>
      </c>
      <c r="E84" s="804">
        <f>EMD!H7</f>
        <v>0</v>
      </c>
      <c r="F84" s="804">
        <f>EMD!H8</f>
        <v>0</v>
      </c>
      <c r="G84" s="804">
        <f>EMD!H9</f>
        <v>0</v>
      </c>
      <c r="H84" s="804">
        <f>EMD!H10</f>
        <v>0</v>
      </c>
      <c r="I84" s="794">
        <f t="shared" si="9"/>
        <v>0</v>
      </c>
      <c r="J84" s="751"/>
      <c r="K84" s="745"/>
      <c r="L84" s="746"/>
      <c r="M84" s="745"/>
    </row>
    <row r="85" spans="1:13" s="739" customFormat="1" ht="13.8" x14ac:dyDescent="0.25">
      <c r="A85" s="756">
        <v>12</v>
      </c>
      <c r="B85" s="760" t="str">
        <f>ePCR!A2</f>
        <v>ePCR</v>
      </c>
      <c r="C85" s="754">
        <f>ePCR!K2</f>
        <v>0</v>
      </c>
      <c r="D85" s="755">
        <f>COUNTIF(ePCR!B:B,"Critical")</f>
        <v>0</v>
      </c>
      <c r="E85" s="755">
        <f>ePCR!H7</f>
        <v>0</v>
      </c>
      <c r="F85" s="755">
        <f>ePCR!H8</f>
        <v>0</v>
      </c>
      <c r="G85" s="755">
        <f>ePCR!H9</f>
        <v>0</v>
      </c>
      <c r="H85" s="755">
        <f>ePCR!H10</f>
        <v>0</v>
      </c>
      <c r="I85" s="744">
        <f t="shared" si="9"/>
        <v>0</v>
      </c>
      <c r="J85" s="745"/>
      <c r="K85" s="751"/>
      <c r="L85" s="43"/>
      <c r="M85" s="751"/>
    </row>
    <row r="86" spans="1:13" s="739" customFormat="1" ht="13.8" x14ac:dyDescent="0.25">
      <c r="A86" s="756">
        <v>14</v>
      </c>
      <c r="B86" s="760" t="str">
        <f>'FRMS Export'!A2</f>
        <v>FRMS EXPORT</v>
      </c>
      <c r="C86" s="754">
        <f>'FRMS Export'!K2</f>
        <v>0</v>
      </c>
      <c r="D86" s="755">
        <f>COUNTIF('FRMS Export'!B:B,"Critical")</f>
        <v>0</v>
      </c>
      <c r="E86" s="755">
        <f>'FRMS Export'!H7</f>
        <v>0</v>
      </c>
      <c r="F86" s="755">
        <f>'FRMS Export'!H8</f>
        <v>0</v>
      </c>
      <c r="G86" s="755">
        <f>'FRMS Export'!H9</f>
        <v>0</v>
      </c>
      <c r="H86" s="755">
        <f>'FRMS Export'!H10</f>
        <v>0</v>
      </c>
      <c r="I86" s="744">
        <f t="shared" si="9"/>
        <v>0</v>
      </c>
      <c r="J86" s="745"/>
      <c r="K86" s="751"/>
      <c r="L86" s="43"/>
      <c r="M86" s="751"/>
    </row>
    <row r="87" spans="1:13" s="734" customFormat="1" ht="13.8" x14ac:dyDescent="0.25">
      <c r="A87" s="798">
        <v>15</v>
      </c>
      <c r="B87" s="802" t="str">
        <f>Livescan!A2</f>
        <v>LIVESCAN</v>
      </c>
      <c r="C87" s="803">
        <f>Livescan!K2</f>
        <v>0</v>
      </c>
      <c r="D87" s="804">
        <f>COUNTIF(Livescan!B:B,"Critical")</f>
        <v>0</v>
      </c>
      <c r="E87" s="804">
        <f>Livescan!H7</f>
        <v>0</v>
      </c>
      <c r="F87" s="804">
        <f>Livescan!H8</f>
        <v>0</v>
      </c>
      <c r="G87" s="804">
        <f>Livescan!H9</f>
        <v>0</v>
      </c>
      <c r="H87" s="804">
        <f>Livescan!H10</f>
        <v>0</v>
      </c>
      <c r="I87" s="794">
        <f t="shared" si="9"/>
        <v>0</v>
      </c>
      <c r="J87" s="751"/>
      <c r="K87" s="745"/>
      <c r="L87" s="746"/>
      <c r="M87" s="745"/>
    </row>
    <row r="88" spans="1:13" s="739" customFormat="1" ht="13.8" x14ac:dyDescent="0.25">
      <c r="A88" s="756">
        <v>16</v>
      </c>
      <c r="B88" s="760" t="str">
        <f>'NG911'!A2</f>
        <v>NG911</v>
      </c>
      <c r="C88" s="754">
        <f>'NG911'!K2</f>
        <v>0</v>
      </c>
      <c r="D88" s="755">
        <f>COUNTIF('NG911'!B:B,"Critical")</f>
        <v>0</v>
      </c>
      <c r="E88" s="755">
        <f>'NG911'!H7</f>
        <v>0</v>
      </c>
      <c r="F88" s="755">
        <f>'NG911'!H8</f>
        <v>0</v>
      </c>
      <c r="G88" s="755">
        <f>'NG911'!H9</f>
        <v>0</v>
      </c>
      <c r="H88" s="755">
        <f>'NG911'!H10</f>
        <v>0</v>
      </c>
      <c r="I88" s="744">
        <f t="shared" si="9"/>
        <v>0</v>
      </c>
      <c r="J88" s="745"/>
      <c r="K88" s="751"/>
      <c r="L88" s="43"/>
      <c r="M88" s="751"/>
    </row>
    <row r="89" spans="1:13" s="734" customFormat="1" ht="13.8" x14ac:dyDescent="0.25">
      <c r="A89" s="798">
        <v>17</v>
      </c>
      <c r="B89" s="802" t="s">
        <v>927</v>
      </c>
      <c r="C89" s="803">
        <f>NIBRS!K2</f>
        <v>0</v>
      </c>
      <c r="D89" s="804">
        <f>COUNTIF(NIBRS!B:B,"Critical")</f>
        <v>0</v>
      </c>
      <c r="E89" s="804">
        <f>NIBRS!H7</f>
        <v>0</v>
      </c>
      <c r="F89" s="804">
        <f>NIBRS!H8</f>
        <v>0</v>
      </c>
      <c r="G89" s="804">
        <f>NIBRS!H9</f>
        <v>0</v>
      </c>
      <c r="H89" s="804">
        <f>NIBRS!H10</f>
        <v>0</v>
      </c>
      <c r="I89" s="794">
        <f t="shared" si="9"/>
        <v>0</v>
      </c>
      <c r="J89" s="751"/>
      <c r="K89" s="745"/>
      <c r="L89" s="746"/>
      <c r="M89" s="745"/>
    </row>
    <row r="90" spans="1:13" s="734" customFormat="1" ht="13.8" x14ac:dyDescent="0.25">
      <c r="A90" s="798">
        <v>19</v>
      </c>
      <c r="B90" s="802" t="str">
        <f>Paging!A2</f>
        <v>PAGING</v>
      </c>
      <c r="C90" s="803">
        <f>Paging!K2</f>
        <v>0</v>
      </c>
      <c r="D90" s="804">
        <f>COUNTIF(Paging!B:B,"Critical")</f>
        <v>0</v>
      </c>
      <c r="E90" s="804">
        <f>Paging!H7</f>
        <v>0</v>
      </c>
      <c r="F90" s="804">
        <f>Paging!H8</f>
        <v>0</v>
      </c>
      <c r="G90" s="804">
        <f>Paging!H9</f>
        <v>0</v>
      </c>
      <c r="H90" s="804">
        <f>Paging!H10</f>
        <v>0</v>
      </c>
      <c r="I90" s="794">
        <f t="shared" si="9"/>
        <v>0</v>
      </c>
      <c r="J90" s="751"/>
      <c r="K90" s="745"/>
      <c r="L90" s="746"/>
      <c r="M90" s="745"/>
    </row>
    <row r="91" spans="1:13" s="739" customFormat="1" ht="13.8" x14ac:dyDescent="0.25">
      <c r="A91" s="756">
        <v>20</v>
      </c>
      <c r="B91" s="760" t="str">
        <f>PulsePoint!A2</f>
        <v>PULSEPOINT</v>
      </c>
      <c r="C91" s="754">
        <f>PulsePoint!K2</f>
        <v>0</v>
      </c>
      <c r="D91" s="755">
        <f>COUNTIF(PulsePoint!B:B,"Critical")</f>
        <v>0</v>
      </c>
      <c r="E91" s="755">
        <f>PulsePoint!H7</f>
        <v>0</v>
      </c>
      <c r="F91" s="755">
        <f>PulsePoint!H8</f>
        <v>0</v>
      </c>
      <c r="G91" s="755">
        <f>PulsePoint!H9</f>
        <v>0</v>
      </c>
      <c r="H91" s="755">
        <f>PulsePoint!H10</f>
        <v>0</v>
      </c>
      <c r="I91" s="744">
        <f t="shared" si="9"/>
        <v>0</v>
      </c>
      <c r="J91" s="745"/>
      <c r="K91" s="751"/>
      <c r="L91" s="43"/>
      <c r="M91" s="751"/>
    </row>
    <row r="92" spans="1:13" s="734" customFormat="1" ht="13.8" x14ac:dyDescent="0.25">
      <c r="A92" s="798">
        <v>21</v>
      </c>
      <c r="B92" s="802" t="str">
        <f>'Radio Console'!A2</f>
        <v>RADIO CONSOLE</v>
      </c>
      <c r="C92" s="803">
        <f>'Radio Console'!K2</f>
        <v>0</v>
      </c>
      <c r="D92" s="804">
        <f>COUNTIF('Radio Console'!B:B,"Critical")</f>
        <v>0</v>
      </c>
      <c r="E92" s="804">
        <f>'Radio Console'!H7</f>
        <v>0</v>
      </c>
      <c r="F92" s="804">
        <f>'Radio Console'!H8</f>
        <v>0</v>
      </c>
      <c r="G92" s="804">
        <f>'Radio Console'!H9</f>
        <v>0</v>
      </c>
      <c r="H92" s="804">
        <f>'Radio Console'!H10</f>
        <v>0</v>
      </c>
      <c r="I92" s="794">
        <f t="shared" si="9"/>
        <v>0</v>
      </c>
      <c r="J92" s="751"/>
      <c r="K92" s="745"/>
      <c r="L92" s="746"/>
      <c r="M92" s="745"/>
    </row>
    <row r="93" spans="1:13" s="739" customFormat="1" ht="13.8" x14ac:dyDescent="0.25">
      <c r="A93" s="756">
        <v>22</v>
      </c>
      <c r="B93" s="760" t="str">
        <f>'Radio GPS'!A2</f>
        <v>RADIO GPS</v>
      </c>
      <c r="C93" s="754">
        <f>'Radio GPS'!K2</f>
        <v>0</v>
      </c>
      <c r="D93" s="755">
        <f>COUNTIF('Radio GPS'!B:B,"Critical")</f>
        <v>0</v>
      </c>
      <c r="E93" s="755">
        <f>'Radio GPS'!H6</f>
        <v>0</v>
      </c>
      <c r="F93" s="755">
        <f>'Radio GPS'!H7</f>
        <v>0</v>
      </c>
      <c r="G93" s="755">
        <f>'Radio GPS'!H8</f>
        <v>0</v>
      </c>
      <c r="H93" s="755">
        <f>'Radio GPS'!H10</f>
        <v>0</v>
      </c>
      <c r="I93" s="744">
        <f t="shared" si="9"/>
        <v>0</v>
      </c>
      <c r="J93" s="745"/>
      <c r="K93" s="751"/>
      <c r="L93" s="43"/>
      <c r="M93" s="751"/>
    </row>
    <row r="94" spans="1:13" s="734" customFormat="1" ht="13.8" x14ac:dyDescent="0.25">
      <c r="A94" s="798">
        <v>23</v>
      </c>
      <c r="B94" s="802" t="str">
        <f>RapidSOS!A2</f>
        <v>RAPIDSOS</v>
      </c>
      <c r="C94" s="803">
        <f>RapidSOS!K2</f>
        <v>0</v>
      </c>
      <c r="D94" s="804">
        <f>COUNTIF(RapidSOS!B:B,"Critical")</f>
        <v>0</v>
      </c>
      <c r="E94" s="804">
        <f>RapidSOS!H7</f>
        <v>0</v>
      </c>
      <c r="F94" s="804">
        <f>RapidSOS!H9</f>
        <v>0</v>
      </c>
      <c r="G94" s="804">
        <f>RapidSOS!H9</f>
        <v>0</v>
      </c>
      <c r="H94" s="804">
        <f>RapidSOS!H10</f>
        <v>0</v>
      </c>
      <c r="I94" s="794">
        <f t="shared" si="9"/>
        <v>0</v>
      </c>
      <c r="J94" s="751"/>
      <c r="K94" s="745"/>
      <c r="L94" s="746"/>
      <c r="M94" s="745"/>
    </row>
    <row r="95" spans="1:13" s="739" customFormat="1" ht="13.8" x14ac:dyDescent="0.25">
      <c r="A95" s="756">
        <v>24</v>
      </c>
      <c r="B95" s="760" t="str">
        <f>VCIN!A2</f>
        <v>VCIN</v>
      </c>
      <c r="C95" s="754">
        <f>VCIN!K2</f>
        <v>0</v>
      </c>
      <c r="D95" s="755">
        <f>COUNTIF(VCIN!B:B,"Critical")</f>
        <v>1</v>
      </c>
      <c r="E95" s="755">
        <f>VCIN!H7</f>
        <v>1</v>
      </c>
      <c r="F95" s="755">
        <f>VCIN!H8</f>
        <v>0</v>
      </c>
      <c r="G95" s="755">
        <f>VCIN!H9</f>
        <v>0</v>
      </c>
      <c r="H95" s="761">
        <f>VCIN!H10</f>
        <v>0</v>
      </c>
      <c r="I95" s="744">
        <f t="shared" si="9"/>
        <v>1</v>
      </c>
      <c r="J95" s="745"/>
      <c r="K95" s="751"/>
      <c r="L95" s="43"/>
      <c r="M95" s="751"/>
    </row>
    <row r="96" spans="1:13" s="41" customFormat="1" ht="13.8" x14ac:dyDescent="0.25">
      <c r="A96" s="828">
        <v>25</v>
      </c>
      <c r="B96" s="829"/>
      <c r="C96" s="782"/>
      <c r="D96" s="783"/>
      <c r="E96" s="783"/>
      <c r="F96" s="783"/>
      <c r="G96" s="830"/>
      <c r="H96" s="783"/>
      <c r="I96" s="783"/>
      <c r="J96" s="73">
        <f>SUM(I77:I95)</f>
        <v>13</v>
      </c>
      <c r="K96" s="58"/>
      <c r="L96" s="43"/>
      <c r="M96" s="58"/>
    </row>
    <row r="97" spans="1:13" s="739" customFormat="1" ht="13.8" x14ac:dyDescent="0.25">
      <c r="A97" s="756">
        <v>26</v>
      </c>
      <c r="B97" s="762"/>
      <c r="C97" s="737"/>
      <c r="D97" s="738"/>
      <c r="E97" s="738"/>
      <c r="F97" s="738"/>
      <c r="G97" s="738"/>
      <c r="H97" s="763"/>
      <c r="I97" s="764" t="s">
        <v>53</v>
      </c>
      <c r="J97" s="765"/>
      <c r="K97" s="751"/>
      <c r="L97" s="751"/>
      <c r="M97" s="751"/>
    </row>
    <row r="98" spans="1:13" s="739" customFormat="1" ht="13.8" x14ac:dyDescent="0.25">
      <c r="A98" s="756">
        <v>27</v>
      </c>
      <c r="B98" s="762"/>
      <c r="C98" s="737"/>
      <c r="D98" s="738"/>
      <c r="E98" s="738"/>
      <c r="F98" s="738"/>
      <c r="G98" s="738"/>
      <c r="H98" s="738"/>
      <c r="I98" s="764"/>
      <c r="J98" s="751"/>
      <c r="K98" s="751"/>
      <c r="L98" s="751"/>
      <c r="M98" s="751"/>
    </row>
    <row r="99" spans="1:13" s="739" customFormat="1" ht="13.8" x14ac:dyDescent="0.25">
      <c r="A99" s="756">
        <v>28</v>
      </c>
      <c r="B99" s="762"/>
      <c r="C99" s="737"/>
      <c r="D99" s="738"/>
      <c r="E99" s="738"/>
      <c r="F99" s="738"/>
      <c r="G99" s="738"/>
      <c r="H99" s="738"/>
      <c r="I99" s="764"/>
      <c r="J99" s="751"/>
      <c r="K99" s="751"/>
      <c r="L99" s="751"/>
      <c r="M99" s="751"/>
    </row>
    <row r="100" spans="1:13" x14ac:dyDescent="0.25">
      <c r="A100" s="72">
        <v>29</v>
      </c>
      <c r="B100" s="65"/>
      <c r="C100" s="33"/>
      <c r="D100" s="34"/>
      <c r="E100" s="34"/>
      <c r="F100" s="34"/>
      <c r="G100" s="34"/>
      <c r="H100" s="34"/>
      <c r="I100" s="63"/>
    </row>
    <row r="101" spans="1:13" x14ac:dyDescent="0.25">
      <c r="A101" s="72">
        <v>30</v>
      </c>
      <c r="B101" s="65"/>
      <c r="C101" s="33"/>
      <c r="D101" s="34"/>
      <c r="E101" s="34"/>
      <c r="F101" s="34"/>
      <c r="G101" s="34"/>
      <c r="H101" s="34"/>
      <c r="I101" s="63"/>
      <c r="K101" s="41"/>
    </row>
    <row r="102" spans="1:13" x14ac:dyDescent="0.25">
      <c r="A102" s="72">
        <v>31</v>
      </c>
      <c r="B102" s="65"/>
      <c r="C102" s="33"/>
      <c r="D102" s="34"/>
      <c r="E102" s="34"/>
      <c r="F102" s="34"/>
      <c r="G102" s="34"/>
      <c r="H102" s="34"/>
      <c r="I102" s="63"/>
      <c r="K102" s="41"/>
    </row>
    <row r="103" spans="1:13" x14ac:dyDescent="0.25">
      <c r="A103" s="72">
        <v>32</v>
      </c>
      <c r="B103" s="65"/>
      <c r="C103" s="33"/>
      <c r="D103" s="34"/>
      <c r="E103" s="34"/>
      <c r="F103" s="34"/>
      <c r="G103" s="34"/>
      <c r="H103" s="34"/>
      <c r="I103" s="63"/>
      <c r="J103" s="66"/>
      <c r="K103" s="41"/>
    </row>
    <row r="104" spans="1:13" x14ac:dyDescent="0.25">
      <c r="A104" s="74">
        <v>33</v>
      </c>
      <c r="B104" s="75"/>
      <c r="C104" s="76"/>
      <c r="D104" s="77"/>
      <c r="E104" s="77"/>
      <c r="F104" s="77"/>
      <c r="G104" s="77"/>
      <c r="H104" s="77"/>
      <c r="I104" s="63"/>
      <c r="J104" s="66"/>
      <c r="K104" s="41"/>
    </row>
    <row r="105" spans="1:13" x14ac:dyDescent="0.25">
      <c r="B105" s="75"/>
      <c r="C105" s="76"/>
      <c r="D105" s="77"/>
      <c r="E105" s="77"/>
      <c r="F105" s="77"/>
      <c r="G105" s="77"/>
      <c r="H105" s="77"/>
      <c r="K105" s="41"/>
    </row>
    <row r="106" spans="1:13" ht="41.4" x14ac:dyDescent="0.25">
      <c r="A106" s="78" t="s">
        <v>37</v>
      </c>
      <c r="B106" s="78" t="s">
        <v>38</v>
      </c>
      <c r="C106" s="78" t="s">
        <v>48</v>
      </c>
      <c r="D106" s="79" t="s">
        <v>59</v>
      </c>
      <c r="E106" s="79" t="s">
        <v>60</v>
      </c>
      <c r="F106" s="79" t="s">
        <v>61</v>
      </c>
      <c r="G106" s="79" t="s">
        <v>62</v>
      </c>
      <c r="H106" s="79" t="s">
        <v>63</v>
      </c>
      <c r="K106" s="41"/>
    </row>
    <row r="107" spans="1:13" x14ac:dyDescent="0.25">
      <c r="A107" s="80" t="s">
        <v>52</v>
      </c>
      <c r="B107" s="81"/>
      <c r="C107" s="80">
        <f>SUM(C108:C126)</f>
        <v>0</v>
      </c>
      <c r="D107" s="80">
        <f>SUM(D108:D133)</f>
        <v>734</v>
      </c>
      <c r="E107" s="80">
        <f>SUM(E108:E126)</f>
        <v>734</v>
      </c>
      <c r="F107" s="80">
        <f>SUM(F108:F133)</f>
        <v>0</v>
      </c>
      <c r="G107" s="80">
        <f>SUM(G108:G133)</f>
        <v>0</v>
      </c>
      <c r="H107" s="80">
        <f>SUM(H108:H133)</f>
        <v>0</v>
      </c>
      <c r="I107" s="57">
        <f t="shared" ref="I107:I111" si="10">SUM(E107:H107)</f>
        <v>734</v>
      </c>
      <c r="K107" s="41"/>
    </row>
    <row r="108" spans="1:13" s="734" customFormat="1" x14ac:dyDescent="0.25">
      <c r="A108" s="808">
        <v>1</v>
      </c>
      <c r="B108" s="809" t="str">
        <f>'911 ALI'!A2</f>
        <v>911 ALI</v>
      </c>
      <c r="C108" s="810">
        <f>'911 ALI'!K2</f>
        <v>0</v>
      </c>
      <c r="D108" s="811">
        <f>COUNTIF('911 ALI'!B:B,"Important")</f>
        <v>42</v>
      </c>
      <c r="E108" s="811">
        <f>'911 ALI'!H11</f>
        <v>42</v>
      </c>
      <c r="F108" s="811">
        <f>'911 ALI'!H12</f>
        <v>0</v>
      </c>
      <c r="G108" s="811">
        <f>'911 ALI'!H13</f>
        <v>0</v>
      </c>
      <c r="H108" s="811">
        <f>'911 ALI'!H14</f>
        <v>0</v>
      </c>
      <c r="I108" s="792">
        <f t="shared" si="10"/>
        <v>42</v>
      </c>
      <c r="K108" s="768"/>
    </row>
    <row r="109" spans="1:13" s="739" customFormat="1" x14ac:dyDescent="0.25">
      <c r="A109" s="769">
        <v>4</v>
      </c>
      <c r="B109" s="770" t="str">
        <f>AXON!A2</f>
        <v>AXON</v>
      </c>
      <c r="C109" s="771">
        <f>AXON!K2</f>
        <v>0</v>
      </c>
      <c r="D109" s="772">
        <f>COUNTIF(AXON!B:B,"Important")</f>
        <v>1</v>
      </c>
      <c r="E109" s="772">
        <f>AXON!H11</f>
        <v>1</v>
      </c>
      <c r="F109" s="772">
        <f>AXON!H12</f>
        <v>0</v>
      </c>
      <c r="G109" s="772">
        <f>AXON!H13</f>
        <v>0</v>
      </c>
      <c r="H109" s="772">
        <f>AXON!H14</f>
        <v>0</v>
      </c>
      <c r="I109" s="750">
        <f t="shared" si="10"/>
        <v>1</v>
      </c>
      <c r="K109" s="86"/>
    </row>
    <row r="110" spans="1:13" s="734" customFormat="1" x14ac:dyDescent="0.25">
      <c r="A110" s="808">
        <v>5</v>
      </c>
      <c r="B110" s="815" t="str">
        <f>CAD2CAD!A2</f>
        <v>CAD2CAD</v>
      </c>
      <c r="C110" s="810">
        <f>CAD2CAD!K2</f>
        <v>0</v>
      </c>
      <c r="D110" s="811">
        <f>COUNTIF(CAD2CAD!B:B,"Important")</f>
        <v>0</v>
      </c>
      <c r="E110" s="811">
        <f>CAD2CAD!H11</f>
        <v>0</v>
      </c>
      <c r="F110" s="811">
        <f>CAD2CAD!H12</f>
        <v>0</v>
      </c>
      <c r="G110" s="811">
        <f>CAD2CAD!H12</f>
        <v>0</v>
      </c>
      <c r="H110" s="811">
        <f>CAD2CAD!H13</f>
        <v>0</v>
      </c>
      <c r="I110" s="792">
        <f t="shared" si="10"/>
        <v>0</v>
      </c>
      <c r="K110" s="768"/>
    </row>
    <row r="111" spans="1:13" s="739" customFormat="1" x14ac:dyDescent="0.25">
      <c r="A111" s="769">
        <v>6</v>
      </c>
      <c r="B111" s="770" t="str">
        <f>CarFax!A2</f>
        <v>CARFAX</v>
      </c>
      <c r="C111" s="771">
        <f>CarFax!K2</f>
        <v>0</v>
      </c>
      <c r="D111" s="772">
        <f>COUNTIF(CarFax!B:B,"Important")</f>
        <v>20</v>
      </c>
      <c r="E111" s="772">
        <f>CarFax!H11</f>
        <v>20</v>
      </c>
      <c r="F111" s="772">
        <f>CarFax!H12</f>
        <v>0</v>
      </c>
      <c r="G111" s="772">
        <f>CarFax!H13</f>
        <v>0</v>
      </c>
      <c r="H111" s="772">
        <f>CarFax!H14</f>
        <v>0</v>
      </c>
      <c r="I111" s="750">
        <f t="shared" si="10"/>
        <v>20</v>
      </c>
      <c r="K111" s="86"/>
    </row>
    <row r="112" spans="1:13" s="739" customFormat="1" x14ac:dyDescent="0.25">
      <c r="A112" s="769">
        <v>8</v>
      </c>
      <c r="B112" s="773" t="str">
        <f>Drones!A2</f>
        <v>DRONES</v>
      </c>
      <c r="C112" s="766">
        <f>Drones!K3</f>
        <v>0</v>
      </c>
      <c r="D112" s="767">
        <f>COUNTIF(Drones!B:B,"Important")</f>
        <v>36</v>
      </c>
      <c r="E112" s="767">
        <f>Drones!H11</f>
        <v>36</v>
      </c>
      <c r="F112" s="767">
        <f>Drones!H12</f>
        <v>0</v>
      </c>
      <c r="G112" s="767">
        <f>Drones!H13</f>
        <v>0</v>
      </c>
      <c r="H112" s="767">
        <f>Drones!H14</f>
        <v>0</v>
      </c>
      <c r="I112" s="744">
        <f t="shared" ref="I112" si="11">SUM(E112:H112)</f>
        <v>36</v>
      </c>
      <c r="K112" s="86"/>
    </row>
    <row r="113" spans="1:11" s="734" customFormat="1" x14ac:dyDescent="0.25">
      <c r="A113" s="808">
        <v>9</v>
      </c>
      <c r="B113" s="816" t="str">
        <f>'TREDS Crash'!A2</f>
        <v>TREDS CRASH</v>
      </c>
      <c r="C113" s="814">
        <f>'TREDS Crash'!K2</f>
        <v>0</v>
      </c>
      <c r="D113" s="814">
        <f>COUNTIF('TREDS Crash'!B:B,"Important")</f>
        <v>20</v>
      </c>
      <c r="E113" s="814">
        <f>'TREDS Crash'!H11</f>
        <v>20</v>
      </c>
      <c r="F113" s="814">
        <f>'TREDS Crash'!H12</f>
        <v>0</v>
      </c>
      <c r="G113" s="814">
        <f>'TREDS Crash'!H13</f>
        <v>0</v>
      </c>
      <c r="H113" s="814">
        <f>'TREDS Crash'!H14</f>
        <v>0</v>
      </c>
      <c r="I113" s="794">
        <f t="shared" ref="I113:I126" si="12">SUM(E113:H113)</f>
        <v>20</v>
      </c>
      <c r="J113" s="739"/>
      <c r="K113" s="768"/>
    </row>
    <row r="114" spans="1:11" s="739" customFormat="1" x14ac:dyDescent="0.25">
      <c r="A114" s="769">
        <v>10</v>
      </c>
      <c r="B114" s="773" t="str">
        <f>'eCitation DMV '!A2</f>
        <v>eCITATION</v>
      </c>
      <c r="C114" s="766">
        <f>'eCitation DMV '!K2</f>
        <v>0</v>
      </c>
      <c r="D114" s="767">
        <f>COUNTIF('eCitation DMV '!B:B,"Important")</f>
        <v>22</v>
      </c>
      <c r="E114" s="767">
        <f>'eCitation DMV '!H11</f>
        <v>22</v>
      </c>
      <c r="F114" s="767">
        <f>'eCitation DMV '!H12</f>
        <v>0</v>
      </c>
      <c r="G114" s="767">
        <f>'eCitation DMV '!H13</f>
        <v>0</v>
      </c>
      <c r="H114" s="767">
        <f>'eCitation DMV '!H14</f>
        <v>0</v>
      </c>
      <c r="I114" s="744">
        <f t="shared" si="12"/>
        <v>22</v>
      </c>
      <c r="J114" s="734"/>
      <c r="K114" s="86"/>
    </row>
    <row r="115" spans="1:11" s="734" customFormat="1" x14ac:dyDescent="0.25">
      <c r="A115" s="808">
        <v>11</v>
      </c>
      <c r="B115" s="812" t="str">
        <f>EMD!A2</f>
        <v>EMD</v>
      </c>
      <c r="C115" s="813">
        <f>EMD!K2</f>
        <v>0</v>
      </c>
      <c r="D115" s="814">
        <f>COUNTIF(EMD!B:B,"Important")</f>
        <v>25</v>
      </c>
      <c r="E115" s="814">
        <f>EMD!H11</f>
        <v>25</v>
      </c>
      <c r="F115" s="814">
        <f>EMD!H12</f>
        <v>0</v>
      </c>
      <c r="G115" s="814">
        <f>EMD!H13</f>
        <v>0</v>
      </c>
      <c r="H115" s="814">
        <f>EMD!H14</f>
        <v>0</v>
      </c>
      <c r="I115" s="794">
        <f t="shared" si="12"/>
        <v>25</v>
      </c>
      <c r="J115" s="739"/>
      <c r="K115" s="768"/>
    </row>
    <row r="116" spans="1:11" s="739" customFormat="1" x14ac:dyDescent="0.25">
      <c r="A116" s="769">
        <v>12</v>
      </c>
      <c r="B116" s="773" t="str">
        <f>ePCR!A2</f>
        <v>ePCR</v>
      </c>
      <c r="C116" s="766">
        <f>ePCR!K2</f>
        <v>0</v>
      </c>
      <c r="D116" s="767">
        <f>COUNTIF(ePCR!B:B,"Important")</f>
        <v>52</v>
      </c>
      <c r="E116" s="767">
        <f>ePCR!H11</f>
        <v>52</v>
      </c>
      <c r="F116" s="767">
        <f>ePCR!H12</f>
        <v>0</v>
      </c>
      <c r="G116" s="767">
        <f>ePCR!H13</f>
        <v>0</v>
      </c>
      <c r="H116" s="767">
        <f>ePCR!H14</f>
        <v>0</v>
      </c>
      <c r="I116" s="744">
        <f t="shared" si="12"/>
        <v>52</v>
      </c>
      <c r="J116" s="734"/>
      <c r="K116" s="86"/>
    </row>
    <row r="117" spans="1:11" s="739" customFormat="1" x14ac:dyDescent="0.25">
      <c r="A117" s="769">
        <v>14</v>
      </c>
      <c r="B117" s="773" t="str">
        <f>'FRMS Export'!A2</f>
        <v>FRMS EXPORT</v>
      </c>
      <c r="C117" s="766">
        <f>'FRMS Export'!K2</f>
        <v>0</v>
      </c>
      <c r="D117" s="767">
        <f>COUNTIF('FRMS Export'!B:B,"Important")</f>
        <v>46</v>
      </c>
      <c r="E117" s="767">
        <f>'FRMS Export'!H11</f>
        <v>46</v>
      </c>
      <c r="F117" s="767">
        <f>'FRMS Export'!H12</f>
        <v>0</v>
      </c>
      <c r="G117" s="767">
        <f>'FRMS Export'!H13</f>
        <v>0</v>
      </c>
      <c r="H117" s="767">
        <f>'FRMS Export'!H14</f>
        <v>0</v>
      </c>
      <c r="I117" s="744">
        <f t="shared" si="12"/>
        <v>46</v>
      </c>
      <c r="J117" s="734"/>
      <c r="K117" s="86"/>
    </row>
    <row r="118" spans="1:11" s="734" customFormat="1" x14ac:dyDescent="0.25">
      <c r="A118" s="808">
        <v>15</v>
      </c>
      <c r="B118" s="812" t="str">
        <f>Livescan!A2</f>
        <v>LIVESCAN</v>
      </c>
      <c r="C118" s="813">
        <f>Livescan!K2</f>
        <v>0</v>
      </c>
      <c r="D118" s="814">
        <f>COUNTIF(Livescan!B:B,"Important")</f>
        <v>19</v>
      </c>
      <c r="E118" s="814">
        <f>Livescan!H11</f>
        <v>19</v>
      </c>
      <c r="F118" s="814">
        <f>Livescan!H12</f>
        <v>0</v>
      </c>
      <c r="G118" s="814">
        <f>Livescan!H13</f>
        <v>0</v>
      </c>
      <c r="H118" s="814">
        <f>Livescan!H14</f>
        <v>0</v>
      </c>
      <c r="I118" s="794">
        <f t="shared" si="12"/>
        <v>19</v>
      </c>
      <c r="J118" s="739"/>
      <c r="K118" s="768"/>
    </row>
    <row r="119" spans="1:11" s="739" customFormat="1" x14ac:dyDescent="0.25">
      <c r="A119" s="769">
        <v>16</v>
      </c>
      <c r="B119" s="773" t="str">
        <f>'NG911'!A2</f>
        <v>NG911</v>
      </c>
      <c r="C119" s="766">
        <f>'NG911'!K2</f>
        <v>0</v>
      </c>
      <c r="D119" s="767">
        <f>COUNTIF('NG911'!B:B,"Important")</f>
        <v>76</v>
      </c>
      <c r="E119" s="767">
        <f>'NG911'!H11</f>
        <v>76</v>
      </c>
      <c r="F119" s="767">
        <f>'NG911'!H12</f>
        <v>0</v>
      </c>
      <c r="G119" s="767">
        <f>'NG911'!H13</f>
        <v>0</v>
      </c>
      <c r="H119" s="767">
        <f>'NG911'!H14</f>
        <v>0</v>
      </c>
      <c r="I119" s="744">
        <f t="shared" si="12"/>
        <v>76</v>
      </c>
      <c r="J119" s="734"/>
      <c r="K119" s="86"/>
    </row>
    <row r="120" spans="1:11" s="734" customFormat="1" x14ac:dyDescent="0.25">
      <c r="A120" s="808">
        <v>17</v>
      </c>
      <c r="B120" s="812" t="s">
        <v>927</v>
      </c>
      <c r="C120" s="813">
        <f>NIBRS!K2</f>
        <v>0</v>
      </c>
      <c r="D120" s="814">
        <f>COUNTIF(NIBRS!B:B,"Important")</f>
        <v>25</v>
      </c>
      <c r="E120" s="814">
        <f>NIBRS!H11</f>
        <v>25</v>
      </c>
      <c r="F120" s="814">
        <f>NIBRS!H12</f>
        <v>0</v>
      </c>
      <c r="G120" s="814">
        <f>NIBRS!H13</f>
        <v>0</v>
      </c>
      <c r="H120" s="814">
        <f>NIBRS!H14</f>
        <v>0</v>
      </c>
      <c r="I120" s="794">
        <f t="shared" si="12"/>
        <v>25</v>
      </c>
      <c r="J120" s="739"/>
      <c r="K120" s="768"/>
    </row>
    <row r="121" spans="1:11" s="734" customFormat="1" x14ac:dyDescent="0.25">
      <c r="A121" s="808">
        <v>19</v>
      </c>
      <c r="B121" s="812" t="str">
        <f>Paging!A2</f>
        <v>PAGING</v>
      </c>
      <c r="C121" s="813">
        <f>Paging!K2</f>
        <v>0</v>
      </c>
      <c r="D121" s="814">
        <f>COUNTIF(Paging!B:B,"Important")</f>
        <v>88</v>
      </c>
      <c r="E121" s="814">
        <f>Paging!H11</f>
        <v>88</v>
      </c>
      <c r="F121" s="814">
        <f>Paging!H12</f>
        <v>0</v>
      </c>
      <c r="G121" s="814">
        <f>Paging!H13</f>
        <v>0</v>
      </c>
      <c r="H121" s="814">
        <f>Paging!H14</f>
        <v>0</v>
      </c>
      <c r="I121" s="794">
        <f t="shared" si="12"/>
        <v>88</v>
      </c>
      <c r="J121" s="739"/>
      <c r="K121" s="768"/>
    </row>
    <row r="122" spans="1:11" s="739" customFormat="1" x14ac:dyDescent="0.25">
      <c r="A122" s="769">
        <v>20</v>
      </c>
      <c r="B122" s="773" t="str">
        <f>PulsePoint!A2</f>
        <v>PULSEPOINT</v>
      </c>
      <c r="C122" s="766">
        <f>PulsePoint!K2</f>
        <v>0</v>
      </c>
      <c r="D122" s="767">
        <f>COUNTIF(PulsePoint!B:B,"Important")</f>
        <v>15</v>
      </c>
      <c r="E122" s="767">
        <f>PulsePoint!H11</f>
        <v>15</v>
      </c>
      <c r="F122" s="767">
        <f>PulsePoint!H12</f>
        <v>0</v>
      </c>
      <c r="G122" s="767">
        <f>PulsePoint!H13</f>
        <v>0</v>
      </c>
      <c r="H122" s="767">
        <f>PulsePoint!H14</f>
        <v>0</v>
      </c>
      <c r="I122" s="744">
        <f t="shared" si="12"/>
        <v>15</v>
      </c>
      <c r="J122" s="734"/>
      <c r="K122" s="86"/>
    </row>
    <row r="123" spans="1:11" s="734" customFormat="1" x14ac:dyDescent="0.25">
      <c r="A123" s="808">
        <v>21</v>
      </c>
      <c r="B123" s="812" t="str">
        <f>'Radio Console'!A2</f>
        <v>RADIO CONSOLE</v>
      </c>
      <c r="C123" s="813">
        <f>'Radio Console'!K2</f>
        <v>0</v>
      </c>
      <c r="D123" s="814">
        <f>COUNTIF('Radio Console'!B:B,"Important")</f>
        <v>61</v>
      </c>
      <c r="E123" s="814">
        <f>'Radio Console'!H11</f>
        <v>61</v>
      </c>
      <c r="F123" s="814">
        <f>'Radio Console'!H12</f>
        <v>0</v>
      </c>
      <c r="G123" s="814">
        <f>'Radio Console'!H13</f>
        <v>0</v>
      </c>
      <c r="H123" s="814">
        <f>'Radio Console'!H14</f>
        <v>0</v>
      </c>
      <c r="I123" s="794">
        <f t="shared" si="12"/>
        <v>61</v>
      </c>
      <c r="J123" s="739"/>
      <c r="K123" s="768"/>
    </row>
    <row r="124" spans="1:11" s="739" customFormat="1" x14ac:dyDescent="0.25">
      <c r="A124" s="769">
        <v>22</v>
      </c>
      <c r="B124" s="773" t="str">
        <f>'Radio GPS'!A2</f>
        <v>RADIO GPS</v>
      </c>
      <c r="C124" s="766">
        <f>'Radio GPS'!K2</f>
        <v>0</v>
      </c>
      <c r="D124" s="767">
        <f>COUNTIF('Radio GPS'!B:B,"Important")</f>
        <v>18</v>
      </c>
      <c r="E124" s="767">
        <f>'Radio GPS'!H11</f>
        <v>18</v>
      </c>
      <c r="F124" s="767">
        <f>'Radio GPS'!H12</f>
        <v>0</v>
      </c>
      <c r="G124" s="767">
        <f>'Radio GPS'!H13</f>
        <v>0</v>
      </c>
      <c r="H124" s="767">
        <f>'Radio GPS'!H14</f>
        <v>0</v>
      </c>
      <c r="I124" s="744">
        <f t="shared" si="12"/>
        <v>18</v>
      </c>
      <c r="J124" s="734"/>
      <c r="K124" s="86"/>
    </row>
    <row r="125" spans="1:11" s="734" customFormat="1" x14ac:dyDescent="0.25">
      <c r="A125" s="808">
        <v>23</v>
      </c>
      <c r="B125" s="812" t="str">
        <f>RapidSOS!A2</f>
        <v>RAPIDSOS</v>
      </c>
      <c r="C125" s="813">
        <f>RapidSOS!K2</f>
        <v>0</v>
      </c>
      <c r="D125" s="814">
        <f>COUNTIF(RapidSOS!B:B,"Important")</f>
        <v>20</v>
      </c>
      <c r="E125" s="814">
        <f>RapidSOS!H11</f>
        <v>20</v>
      </c>
      <c r="F125" s="814">
        <f>RapidSOS!H12</f>
        <v>0</v>
      </c>
      <c r="G125" s="814">
        <f>RapidSOS!H13</f>
        <v>0</v>
      </c>
      <c r="H125" s="814">
        <f>RapidSOS!H14</f>
        <v>0</v>
      </c>
      <c r="I125" s="794">
        <f t="shared" si="12"/>
        <v>20</v>
      </c>
      <c r="J125" s="739"/>
      <c r="K125" s="768"/>
    </row>
    <row r="126" spans="1:11" s="739" customFormat="1" x14ac:dyDescent="0.25">
      <c r="A126" s="771">
        <v>24</v>
      </c>
      <c r="B126" s="773" t="str">
        <f>VCIN!A2</f>
        <v>VCIN</v>
      </c>
      <c r="C126" s="766">
        <f>VCIN!K2</f>
        <v>0</v>
      </c>
      <c r="D126" s="767">
        <f>COUNTIF(VCIN!B:B,"Important")</f>
        <v>148</v>
      </c>
      <c r="E126" s="767">
        <f>VCIN!H11</f>
        <v>148</v>
      </c>
      <c r="F126" s="767">
        <f>VCIN!H12</f>
        <v>0</v>
      </c>
      <c r="G126" s="767">
        <f>VCIN!H13</f>
        <v>0</v>
      </c>
      <c r="H126" s="767">
        <f>VCIN!H14</f>
        <v>0</v>
      </c>
      <c r="I126" s="744">
        <f t="shared" si="12"/>
        <v>148</v>
      </c>
      <c r="J126" s="734"/>
      <c r="K126" s="87"/>
    </row>
    <row r="127" spans="1:11" s="41" customFormat="1" x14ac:dyDescent="0.25">
      <c r="A127" s="831">
        <v>25</v>
      </c>
      <c r="B127" s="832"/>
      <c r="C127" s="782"/>
      <c r="D127" s="783"/>
      <c r="E127" s="783"/>
      <c r="F127" s="783"/>
      <c r="G127" s="783"/>
      <c r="H127" s="783"/>
      <c r="I127" s="783"/>
      <c r="J127" s="47">
        <f>SUM(I108:I135)</f>
        <v>734</v>
      </c>
    </row>
    <row r="128" spans="1:11" x14ac:dyDescent="0.25">
      <c r="A128" s="84">
        <v>26</v>
      </c>
      <c r="B128" s="83"/>
      <c r="C128" s="84"/>
      <c r="D128" s="85"/>
      <c r="E128" s="85"/>
      <c r="F128" s="85"/>
      <c r="G128" s="85"/>
      <c r="H128" s="85"/>
      <c r="I128" s="63"/>
    </row>
    <row r="129" spans="1:10" x14ac:dyDescent="0.25">
      <c r="A129" s="82">
        <v>27</v>
      </c>
      <c r="B129" s="65"/>
      <c r="C129" s="33"/>
      <c r="D129" s="34"/>
      <c r="E129" s="34"/>
      <c r="F129" s="34"/>
      <c r="G129" s="34"/>
      <c r="H129" s="34"/>
      <c r="I129" s="63"/>
    </row>
    <row r="130" spans="1:10" x14ac:dyDescent="0.25">
      <c r="A130" s="82">
        <v>28</v>
      </c>
      <c r="B130" s="65"/>
      <c r="C130" s="33"/>
      <c r="D130" s="34"/>
      <c r="E130" s="34"/>
      <c r="F130" s="34"/>
      <c r="G130" s="34"/>
      <c r="H130" s="34"/>
      <c r="I130" s="63"/>
    </row>
    <row r="131" spans="1:10" x14ac:dyDescent="0.25">
      <c r="A131" s="82">
        <v>29</v>
      </c>
      <c r="B131" s="65"/>
      <c r="C131" s="33"/>
      <c r="D131" s="34"/>
      <c r="E131" s="34"/>
      <c r="F131" s="34"/>
      <c r="G131" s="34"/>
      <c r="H131" s="34"/>
      <c r="I131" s="63"/>
    </row>
    <row r="132" spans="1:10" x14ac:dyDescent="0.25">
      <c r="A132" s="82">
        <v>30</v>
      </c>
      <c r="B132" s="65"/>
      <c r="C132" s="33"/>
      <c r="D132" s="34"/>
      <c r="E132" s="34"/>
      <c r="F132" s="34"/>
      <c r="G132" s="34"/>
      <c r="H132" s="34"/>
      <c r="I132" s="63"/>
    </row>
    <row r="133" spans="1:10" x14ac:dyDescent="0.25">
      <c r="A133" s="82">
        <v>31</v>
      </c>
      <c r="B133" s="83"/>
      <c r="C133" s="84"/>
      <c r="D133" s="85"/>
      <c r="E133" s="85"/>
      <c r="F133" s="85"/>
      <c r="G133" s="85"/>
      <c r="H133" s="85"/>
      <c r="I133" s="63"/>
    </row>
    <row r="134" spans="1:10" x14ac:dyDescent="0.25">
      <c r="A134" s="82">
        <v>32</v>
      </c>
      <c r="B134" s="65"/>
      <c r="C134" s="33"/>
      <c r="D134" s="34"/>
      <c r="E134" s="34"/>
      <c r="F134" s="34"/>
      <c r="G134" s="34"/>
      <c r="H134" s="34"/>
      <c r="I134" s="63"/>
    </row>
    <row r="135" spans="1:10" x14ac:dyDescent="0.25">
      <c r="A135" s="88">
        <v>33</v>
      </c>
      <c r="B135" s="65"/>
      <c r="C135" s="33"/>
      <c r="D135" s="34"/>
      <c r="E135" s="34"/>
      <c r="F135" s="34"/>
      <c r="G135" s="34"/>
      <c r="H135" s="34"/>
      <c r="I135" s="63"/>
      <c r="J135" s="66"/>
    </row>
    <row r="137" spans="1:10" ht="41.4" x14ac:dyDescent="0.25">
      <c r="A137" s="89" t="s">
        <v>37</v>
      </c>
      <c r="B137" s="89" t="s">
        <v>38</v>
      </c>
      <c r="C137" s="89" t="s">
        <v>48</v>
      </c>
      <c r="D137" s="90" t="s">
        <v>64</v>
      </c>
      <c r="E137" s="90" t="s">
        <v>65</v>
      </c>
      <c r="F137" s="90" t="s">
        <v>66</v>
      </c>
      <c r="G137" s="90" t="s">
        <v>67</v>
      </c>
      <c r="H137" s="90" t="s">
        <v>68</v>
      </c>
    </row>
    <row r="138" spans="1:10" x14ac:dyDescent="0.25">
      <c r="A138" s="91" t="s">
        <v>52</v>
      </c>
      <c r="B138" s="92"/>
      <c r="C138" s="91" t="e">
        <f>SUM(C139:C162)</f>
        <v>#REF!</v>
      </c>
      <c r="D138" s="91" t="e">
        <f>SUM(D139:D162)</f>
        <v>#REF!</v>
      </c>
      <c r="E138" s="91" t="e">
        <f>SUM(E139:E169)</f>
        <v>#REF!</v>
      </c>
      <c r="F138" s="91" t="e">
        <f>SUM(F139:F169)</f>
        <v>#REF!</v>
      </c>
      <c r="G138" s="91" t="e">
        <f>SUM(G139:G169)</f>
        <v>#REF!</v>
      </c>
      <c r="H138" s="91" t="e">
        <f>SUM(H139:H169)</f>
        <v>#REF!</v>
      </c>
      <c r="I138" s="57" t="e">
        <f t="shared" ref="I138:I145" si="13">SUM(E138:H138)</f>
        <v>#REF!</v>
      </c>
    </row>
    <row r="139" spans="1:10" x14ac:dyDescent="0.25">
      <c r="A139" s="817">
        <v>1</v>
      </c>
      <c r="B139" s="818" t="str">
        <f>'911 ALI'!A2</f>
        <v>911 ALI</v>
      </c>
      <c r="C139" s="819">
        <f>'911 ALI'!K2</f>
        <v>0</v>
      </c>
      <c r="D139" s="820">
        <f>COUNTIF('911 ALI'!B:B,"Informational")</f>
        <v>5</v>
      </c>
      <c r="E139" s="820">
        <f>'911 ALI'!H15</f>
        <v>5</v>
      </c>
      <c r="F139" s="820">
        <f>'911 ALI'!H16</f>
        <v>0</v>
      </c>
      <c r="G139" s="820">
        <f>'911 ALI'!H17</f>
        <v>0</v>
      </c>
      <c r="H139" s="820">
        <f>'911 ALI'!H18</f>
        <v>0</v>
      </c>
      <c r="I139" s="794">
        <f>SUM(E139:H139)</f>
        <v>5</v>
      </c>
    </row>
    <row r="140" spans="1:10" s="739" customFormat="1" x14ac:dyDescent="0.25">
      <c r="A140" s="823">
        <v>2</v>
      </c>
      <c r="B140" s="824" t="e">
        <f>#REF!</f>
        <v>#REF!</v>
      </c>
      <c r="C140" s="825" t="e">
        <f>#REF!</f>
        <v>#REF!</v>
      </c>
      <c r="D140" s="826" t="e">
        <f>COUNTIF(#REF!,"Informational")</f>
        <v>#REF!</v>
      </c>
      <c r="E140" s="826" t="e">
        <f>#REF!</f>
        <v>#REF!</v>
      </c>
      <c r="F140" s="826" t="e">
        <f>#REF!</f>
        <v>#REF!</v>
      </c>
      <c r="G140" s="826" t="e">
        <f>#REF!</f>
        <v>#REF!</v>
      </c>
      <c r="H140" s="826" t="e">
        <f>#REF!</f>
        <v>#REF!</v>
      </c>
      <c r="I140" s="750" t="e">
        <f t="shared" si="13"/>
        <v>#REF!</v>
      </c>
    </row>
    <row r="141" spans="1:10" x14ac:dyDescent="0.25">
      <c r="A141" s="817">
        <v>3</v>
      </c>
      <c r="B141" s="821" t="s">
        <v>53</v>
      </c>
      <c r="C141" s="819" t="s">
        <v>53</v>
      </c>
      <c r="D141" s="820" t="s">
        <v>53</v>
      </c>
      <c r="E141" s="820" t="s">
        <v>53</v>
      </c>
      <c r="F141" s="820" t="s">
        <v>53</v>
      </c>
      <c r="G141" s="820" t="s">
        <v>53</v>
      </c>
      <c r="H141" s="820" t="s">
        <v>53</v>
      </c>
      <c r="I141" s="794" t="s">
        <v>53</v>
      </c>
    </row>
    <row r="142" spans="1:10" s="739" customFormat="1" x14ac:dyDescent="0.25">
      <c r="A142" s="823">
        <v>4</v>
      </c>
      <c r="B142" s="824" t="str">
        <f>AXON!A2</f>
        <v>AXON</v>
      </c>
      <c r="C142" s="825">
        <f>AXON!K2</f>
        <v>0</v>
      </c>
      <c r="D142" s="826">
        <f>COUNTIF(AXON!B:B,"Informational")</f>
        <v>7</v>
      </c>
      <c r="E142" s="826">
        <f>AXON!H15</f>
        <v>7</v>
      </c>
      <c r="F142" s="826">
        <f>AXON!H16</f>
        <v>0</v>
      </c>
      <c r="G142" s="826">
        <f>AXON!H17</f>
        <v>0</v>
      </c>
      <c r="H142" s="826">
        <f>AXON!H18</f>
        <v>0</v>
      </c>
      <c r="I142" s="750">
        <f t="shared" si="13"/>
        <v>7</v>
      </c>
    </row>
    <row r="143" spans="1:10" x14ac:dyDescent="0.25">
      <c r="A143" s="817">
        <v>5</v>
      </c>
      <c r="B143" s="821" t="str">
        <f>CAD2CAD!A2</f>
        <v>CAD2CAD</v>
      </c>
      <c r="C143" s="819">
        <f>CAD2CAD!K2</f>
        <v>0</v>
      </c>
      <c r="D143" s="820">
        <f>COUNTIF(CAD2CAD!B:B,"Informational")</f>
        <v>0</v>
      </c>
      <c r="E143" s="820">
        <f>CAD2CAD!H15</f>
        <v>0</v>
      </c>
      <c r="F143" s="820">
        <f>CAD2CAD!H16</f>
        <v>0</v>
      </c>
      <c r="G143" s="820">
        <f>CAD2CAD!H17</f>
        <v>0</v>
      </c>
      <c r="H143" s="820">
        <f>CAD2CAD!H18</f>
        <v>0</v>
      </c>
      <c r="I143" s="794">
        <f t="shared" si="13"/>
        <v>0</v>
      </c>
    </row>
    <row r="144" spans="1:10" s="739" customFormat="1" x14ac:dyDescent="0.25">
      <c r="A144" s="823">
        <v>6</v>
      </c>
      <c r="B144" s="824" t="str">
        <f>CarFax!A2</f>
        <v>CARFAX</v>
      </c>
      <c r="C144" s="825">
        <f>CarFax!K2</f>
        <v>0</v>
      </c>
      <c r="D144" s="826">
        <f>COUNTIF(CarFax!B:B,"Informational")</f>
        <v>0</v>
      </c>
      <c r="E144" s="826">
        <f>CarFax!H15</f>
        <v>0</v>
      </c>
      <c r="F144" s="826">
        <f>CarFax!H16</f>
        <v>0</v>
      </c>
      <c r="G144" s="826">
        <f>CarFax!H17</f>
        <v>0</v>
      </c>
      <c r="H144" s="826">
        <f>CarFax!H18</f>
        <v>0</v>
      </c>
      <c r="I144" s="750">
        <f t="shared" si="13"/>
        <v>0</v>
      </c>
    </row>
    <row r="145" spans="1:9" x14ac:dyDescent="0.25">
      <c r="A145" s="817">
        <v>7</v>
      </c>
      <c r="B145" s="821" t="e">
        <f>#REF!</f>
        <v>#REF!</v>
      </c>
      <c r="C145" s="819" t="e">
        <f>#REF!</f>
        <v>#REF!</v>
      </c>
      <c r="D145" s="820" t="e">
        <f>COUNTIF(#REF!,"Informational")</f>
        <v>#REF!</v>
      </c>
      <c r="E145" s="820" t="e">
        <f>#REF!</f>
        <v>#REF!</v>
      </c>
      <c r="F145" s="820" t="e">
        <f>#REF!</f>
        <v>#REF!</v>
      </c>
      <c r="G145" s="820" t="e">
        <f>#REF!</f>
        <v>#REF!</v>
      </c>
      <c r="H145" s="820" t="e">
        <f>#REF!</f>
        <v>#REF!</v>
      </c>
      <c r="I145" s="794" t="e">
        <f t="shared" si="13"/>
        <v>#REF!</v>
      </c>
    </row>
    <row r="146" spans="1:9" s="739" customFormat="1" x14ac:dyDescent="0.25">
      <c r="A146" s="823">
        <v>8</v>
      </c>
      <c r="B146" s="827" t="str">
        <f>Drones!A2</f>
        <v>DRONES</v>
      </c>
      <c r="C146" s="826">
        <f>Drones!K2</f>
        <v>0</v>
      </c>
      <c r="D146" s="826">
        <f>COUNTIF(Drones!B:B,"Informational")</f>
        <v>2</v>
      </c>
      <c r="E146" s="826">
        <f>Drones!H15</f>
        <v>2</v>
      </c>
      <c r="F146" s="826">
        <f>Drones!H16</f>
        <v>0</v>
      </c>
      <c r="G146" s="826">
        <f>Drones!H17</f>
        <v>0</v>
      </c>
      <c r="H146" s="826">
        <f>Drones!H18</f>
        <v>0</v>
      </c>
      <c r="I146" s="750">
        <f t="shared" ref="I146:I162" si="14">SUM(E146:H146)</f>
        <v>2</v>
      </c>
    </row>
    <row r="147" spans="1:9" x14ac:dyDescent="0.25">
      <c r="A147" s="817">
        <v>9</v>
      </c>
      <c r="B147" s="822" t="str">
        <f>'TREDS Crash'!A2</f>
        <v>TREDS CRASH</v>
      </c>
      <c r="C147" s="820">
        <f>'TREDS Crash'!K2</f>
        <v>0</v>
      </c>
      <c r="D147" s="820">
        <f>COUNTIF('TREDS Crash'!B:B,"Informational")</f>
        <v>2</v>
      </c>
      <c r="E147" s="820">
        <f>'TREDS Crash'!H15</f>
        <v>2</v>
      </c>
      <c r="F147" s="820">
        <f>'TREDS Crash'!H16</f>
        <v>0</v>
      </c>
      <c r="G147" s="820">
        <f>'TREDS Crash'!H17</f>
        <v>0</v>
      </c>
      <c r="H147" s="820">
        <f>'TREDS Crash'!H18</f>
        <v>0</v>
      </c>
      <c r="I147" s="794">
        <f t="shared" si="14"/>
        <v>2</v>
      </c>
    </row>
    <row r="148" spans="1:9" s="739" customFormat="1" x14ac:dyDescent="0.25">
      <c r="A148" s="823">
        <v>10</v>
      </c>
      <c r="B148" s="824" t="str">
        <f>'eCitation DMV '!A2</f>
        <v>eCITATION</v>
      </c>
      <c r="C148" s="825">
        <f>'eCitation DMV '!K2</f>
        <v>0</v>
      </c>
      <c r="D148" s="826">
        <f>COUNTIF('eCitation DMV '!B:B,"Informational")</f>
        <v>0</v>
      </c>
      <c r="E148" s="826">
        <f>'eCitation DMV '!H15</f>
        <v>0</v>
      </c>
      <c r="F148" s="826">
        <f>'eCitation DMV '!H16</f>
        <v>0</v>
      </c>
      <c r="G148" s="826">
        <f>'eCitation DMV '!H17</f>
        <v>0</v>
      </c>
      <c r="H148" s="826">
        <f>'eCitation DMV '!H18</f>
        <v>0</v>
      </c>
      <c r="I148" s="750">
        <f t="shared" si="14"/>
        <v>0</v>
      </c>
    </row>
    <row r="149" spans="1:9" x14ac:dyDescent="0.25">
      <c r="A149" s="817">
        <v>11</v>
      </c>
      <c r="B149" s="821" t="str">
        <f>EMD!A2</f>
        <v>EMD</v>
      </c>
      <c r="C149" s="819">
        <f>EMD!K2</f>
        <v>0</v>
      </c>
      <c r="D149" s="820">
        <f>COUNTIF(EMD!B:B,"Informational")</f>
        <v>0</v>
      </c>
      <c r="E149" s="820">
        <f>EMD!H15</f>
        <v>0</v>
      </c>
      <c r="F149" s="820">
        <f>EMD!H16</f>
        <v>0</v>
      </c>
      <c r="G149" s="820">
        <f>EMD!H17</f>
        <v>0</v>
      </c>
      <c r="H149" s="820">
        <f>EMD!H18</f>
        <v>0</v>
      </c>
      <c r="I149" s="794">
        <f t="shared" si="14"/>
        <v>0</v>
      </c>
    </row>
    <row r="150" spans="1:9" s="739" customFormat="1" x14ac:dyDescent="0.25">
      <c r="A150" s="823">
        <v>12</v>
      </c>
      <c r="B150" s="824" t="str">
        <f>ePCR!A2</f>
        <v>ePCR</v>
      </c>
      <c r="C150" s="825">
        <f>ePCR!K2</f>
        <v>0</v>
      </c>
      <c r="D150" s="826">
        <f>COUNTIF(ePCR!B:B,"Informational")</f>
        <v>2</v>
      </c>
      <c r="E150" s="826">
        <f>ePCR!H15</f>
        <v>2</v>
      </c>
      <c r="F150" s="826">
        <f>ePCR!H16</f>
        <v>0</v>
      </c>
      <c r="G150" s="826">
        <f>ePCR!H17</f>
        <v>0</v>
      </c>
      <c r="H150" s="826">
        <f>ePCR!H18</f>
        <v>0</v>
      </c>
      <c r="I150" s="750">
        <f t="shared" si="14"/>
        <v>2</v>
      </c>
    </row>
    <row r="151" spans="1:9" x14ac:dyDescent="0.25">
      <c r="A151" s="817">
        <v>13</v>
      </c>
      <c r="B151" s="821" t="e">
        <f>#REF!</f>
        <v>#REF!</v>
      </c>
      <c r="C151" s="819" t="e">
        <f>#REF!</f>
        <v>#REF!</v>
      </c>
      <c r="D151" s="820" t="e">
        <f>COUNTIF(#REF!,"Informational")</f>
        <v>#REF!</v>
      </c>
      <c r="E151" s="820" t="e">
        <f>#REF!</f>
        <v>#REF!</v>
      </c>
      <c r="F151" s="820" t="e">
        <f>#REF!</f>
        <v>#REF!</v>
      </c>
      <c r="G151" s="820" t="e">
        <f>#REF!</f>
        <v>#REF!</v>
      </c>
      <c r="H151" s="820" t="e">
        <f>#REF!</f>
        <v>#REF!</v>
      </c>
      <c r="I151" s="794" t="e">
        <f t="shared" si="14"/>
        <v>#REF!</v>
      </c>
    </row>
    <row r="152" spans="1:9" s="739" customFormat="1" x14ac:dyDescent="0.25">
      <c r="A152" s="823">
        <v>14</v>
      </c>
      <c r="B152" s="824" t="str">
        <f>'FRMS Export'!A2</f>
        <v>FRMS EXPORT</v>
      </c>
      <c r="C152" s="825">
        <f>'FRMS Export'!K2</f>
        <v>0</v>
      </c>
      <c r="D152" s="826">
        <f>COUNTIF('FRMS Export'!B:B,"Informational")</f>
        <v>0</v>
      </c>
      <c r="E152" s="826">
        <f>'FRMS Export'!H15</f>
        <v>0</v>
      </c>
      <c r="F152" s="826">
        <f>'FRMS Export'!H16</f>
        <v>0</v>
      </c>
      <c r="G152" s="826">
        <f>'FRMS Export'!H17</f>
        <v>0</v>
      </c>
      <c r="H152" s="826">
        <f>'FRMS Export'!H18</f>
        <v>0</v>
      </c>
      <c r="I152" s="750">
        <f t="shared" si="14"/>
        <v>0</v>
      </c>
    </row>
    <row r="153" spans="1:9" x14ac:dyDescent="0.25">
      <c r="A153" s="817">
        <v>15</v>
      </c>
      <c r="B153" s="821" t="str">
        <f>Livescan!A2</f>
        <v>LIVESCAN</v>
      </c>
      <c r="C153" s="819">
        <f>Livescan!K2</f>
        <v>0</v>
      </c>
      <c r="D153" s="820">
        <f>COUNTIF(Livescan!B:B,"Informational")</f>
        <v>0</v>
      </c>
      <c r="E153" s="820">
        <f>Livescan!H15</f>
        <v>0</v>
      </c>
      <c r="F153" s="820">
        <f>Livescan!H16</f>
        <v>0</v>
      </c>
      <c r="G153" s="820">
        <f>Livescan!H17</f>
        <v>0</v>
      </c>
      <c r="H153" s="820">
        <f>Livescan!H18</f>
        <v>0</v>
      </c>
      <c r="I153" s="794">
        <f t="shared" si="14"/>
        <v>0</v>
      </c>
    </row>
    <row r="154" spans="1:9" s="739" customFormat="1" x14ac:dyDescent="0.25">
      <c r="A154" s="823">
        <v>16</v>
      </c>
      <c r="B154" s="824" t="str">
        <f>'NG911'!A2</f>
        <v>NG911</v>
      </c>
      <c r="C154" s="825">
        <f>'NG911'!K2</f>
        <v>0</v>
      </c>
      <c r="D154" s="826">
        <f>COUNTIF('NG911'!B:B,"Informational")</f>
        <v>0</v>
      </c>
      <c r="E154" s="826">
        <f>'NG911'!H15</f>
        <v>0</v>
      </c>
      <c r="F154" s="826">
        <f>'NG911'!H16</f>
        <v>0</v>
      </c>
      <c r="G154" s="826">
        <f>'NG911'!H17</f>
        <v>0</v>
      </c>
      <c r="H154" s="826">
        <f>'NG911'!H18</f>
        <v>0</v>
      </c>
      <c r="I154" s="750">
        <f t="shared" si="14"/>
        <v>0</v>
      </c>
    </row>
    <row r="155" spans="1:9" x14ac:dyDescent="0.25">
      <c r="A155" s="817">
        <v>17</v>
      </c>
      <c r="B155" s="821" t="s">
        <v>927</v>
      </c>
      <c r="C155" s="819">
        <f>NIBRS!K2</f>
        <v>0</v>
      </c>
      <c r="D155" s="820">
        <f>COUNTIF(NIBRS!B:B,"Informational")</f>
        <v>0</v>
      </c>
      <c r="E155" s="820">
        <f>NIBRS!H15</f>
        <v>0</v>
      </c>
      <c r="F155" s="820">
        <f>NIBRS!H16</f>
        <v>0</v>
      </c>
      <c r="G155" s="820">
        <f>NIBRS!H17</f>
        <v>0</v>
      </c>
      <c r="H155" s="820">
        <f>NIBRS!H18</f>
        <v>0</v>
      </c>
      <c r="I155" s="794">
        <f t="shared" si="14"/>
        <v>0</v>
      </c>
    </row>
    <row r="156" spans="1:9" s="739" customFormat="1" x14ac:dyDescent="0.25">
      <c r="A156" s="823">
        <v>18</v>
      </c>
      <c r="B156" s="824" t="e">
        <f>#REF!</f>
        <v>#REF!</v>
      </c>
      <c r="C156" s="825" t="e">
        <f>#REF!</f>
        <v>#REF!</v>
      </c>
      <c r="D156" s="826" t="e">
        <f>COUNTIF(#REF!,"Informational")</f>
        <v>#REF!</v>
      </c>
      <c r="E156" s="826" t="e">
        <f>#REF!</f>
        <v>#REF!</v>
      </c>
      <c r="F156" s="826" t="e">
        <f>#REF!</f>
        <v>#REF!</v>
      </c>
      <c r="G156" s="826" t="e">
        <f>#REF!</f>
        <v>#REF!</v>
      </c>
      <c r="H156" s="826" t="e">
        <f>#REF!</f>
        <v>#REF!</v>
      </c>
      <c r="I156" s="750" t="e">
        <f t="shared" si="14"/>
        <v>#REF!</v>
      </c>
    </row>
    <row r="157" spans="1:9" x14ac:dyDescent="0.25">
      <c r="A157" s="817">
        <v>19</v>
      </c>
      <c r="B157" s="821" t="str">
        <f>Paging!A2</f>
        <v>PAGING</v>
      </c>
      <c r="C157" s="819">
        <f>Paging!K2</f>
        <v>0</v>
      </c>
      <c r="D157" s="820">
        <f>COUNTIF(Paging!B:B,"Informational")</f>
        <v>0</v>
      </c>
      <c r="E157" s="820">
        <f>Paging!H15</f>
        <v>0</v>
      </c>
      <c r="F157" s="820">
        <f>Paging!H16</f>
        <v>0</v>
      </c>
      <c r="G157" s="820">
        <f>Paging!H17</f>
        <v>0</v>
      </c>
      <c r="H157" s="820">
        <f>Paging!H18</f>
        <v>0</v>
      </c>
      <c r="I157" s="794">
        <f t="shared" si="14"/>
        <v>0</v>
      </c>
    </row>
    <row r="158" spans="1:9" s="739" customFormat="1" x14ac:dyDescent="0.25">
      <c r="A158" s="823">
        <v>20</v>
      </c>
      <c r="B158" s="824" t="str">
        <f>PulsePoint!A2</f>
        <v>PULSEPOINT</v>
      </c>
      <c r="C158" s="825">
        <f>PulsePoint!K2</f>
        <v>0</v>
      </c>
      <c r="D158" s="826">
        <f>COUNTIF(PulsePoint!B:B,"Informational")</f>
        <v>0</v>
      </c>
      <c r="E158" s="826">
        <f>PulsePoint!H15</f>
        <v>0</v>
      </c>
      <c r="F158" s="826">
        <f>PulsePoint!H16</f>
        <v>0</v>
      </c>
      <c r="G158" s="826">
        <f>PulsePoint!H17</f>
        <v>0</v>
      </c>
      <c r="H158" s="826">
        <f>PulsePoint!H18</f>
        <v>0</v>
      </c>
      <c r="I158" s="750">
        <f t="shared" si="14"/>
        <v>0</v>
      </c>
    </row>
    <row r="159" spans="1:9" x14ac:dyDescent="0.25">
      <c r="A159" s="817">
        <v>21</v>
      </c>
      <c r="B159" s="821" t="str">
        <f>'Radio Console'!A2</f>
        <v>RADIO CONSOLE</v>
      </c>
      <c r="C159" s="819">
        <f>'Radio Console'!K2</f>
        <v>0</v>
      </c>
      <c r="D159" s="820">
        <f>COUNTIF('Radio Console'!B:B,"Informational")</f>
        <v>1</v>
      </c>
      <c r="E159" s="820">
        <f>'Radio Console'!H15</f>
        <v>1</v>
      </c>
      <c r="F159" s="820">
        <f>'Radio Console'!H16</f>
        <v>0</v>
      </c>
      <c r="G159" s="820">
        <f>'Radio Console'!H17</f>
        <v>0</v>
      </c>
      <c r="H159" s="820">
        <f>'Radio Console'!H18</f>
        <v>0</v>
      </c>
      <c r="I159" s="794">
        <f t="shared" si="14"/>
        <v>1</v>
      </c>
    </row>
    <row r="160" spans="1:9" s="739" customFormat="1" x14ac:dyDescent="0.25">
      <c r="A160" s="823">
        <v>22</v>
      </c>
      <c r="B160" s="824" t="str">
        <f>'Radio GPS'!A2</f>
        <v>RADIO GPS</v>
      </c>
      <c r="C160" s="825">
        <f>'Radio GPS'!K2</f>
        <v>0</v>
      </c>
      <c r="D160" s="826">
        <f>COUNTIF('Radio GPS'!B:B,"Informational")</f>
        <v>2</v>
      </c>
      <c r="E160" s="826">
        <f>'Radio GPS'!H15</f>
        <v>2</v>
      </c>
      <c r="F160" s="826">
        <f>'Radio GPS'!H16</f>
        <v>0</v>
      </c>
      <c r="G160" s="826">
        <f>'Radio GPS'!H17</f>
        <v>0</v>
      </c>
      <c r="H160" s="826">
        <f>'Radio GPS'!H18</f>
        <v>0</v>
      </c>
      <c r="I160" s="750">
        <f t="shared" si="14"/>
        <v>2</v>
      </c>
    </row>
    <row r="161" spans="1:10" x14ac:dyDescent="0.25">
      <c r="A161" s="817">
        <v>23</v>
      </c>
      <c r="B161" s="821" t="str">
        <f>RapidSOS!A2</f>
        <v>RAPIDSOS</v>
      </c>
      <c r="C161" s="819">
        <f>RapidSOS!K2</f>
        <v>0</v>
      </c>
      <c r="D161" s="820">
        <f>COUNTIF(RapidSOS!B:B,"Informational")</f>
        <v>1</v>
      </c>
      <c r="E161" s="820">
        <f>RapidSOS!H15</f>
        <v>1</v>
      </c>
      <c r="F161" s="820">
        <f>RapidSOS!H16</f>
        <v>0</v>
      </c>
      <c r="G161" s="820">
        <f>RapidSOS!H17</f>
        <v>0</v>
      </c>
      <c r="H161" s="820">
        <f>RapidSOS!H18</f>
        <v>0</v>
      </c>
      <c r="I161" s="794">
        <f t="shared" si="14"/>
        <v>1</v>
      </c>
    </row>
    <row r="162" spans="1:10" s="739" customFormat="1" x14ac:dyDescent="0.25">
      <c r="A162" s="825">
        <v>24</v>
      </c>
      <c r="B162" s="824" t="str">
        <f>VCIN!A2</f>
        <v>VCIN</v>
      </c>
      <c r="C162" s="825">
        <f>VCIN!K2</f>
        <v>0</v>
      </c>
      <c r="D162" s="826">
        <f>COUNTIF(VCIN!B:B,"Informational")</f>
        <v>2</v>
      </c>
      <c r="E162" s="826">
        <f>VCIN!H15</f>
        <v>2</v>
      </c>
      <c r="F162" s="826">
        <f>VCIN!H16</f>
        <v>0</v>
      </c>
      <c r="G162" s="826">
        <f>VCIN!H17</f>
        <v>0</v>
      </c>
      <c r="H162" s="826">
        <f>VCIN!H18</f>
        <v>0</v>
      </c>
      <c r="I162" s="750">
        <f t="shared" si="14"/>
        <v>2</v>
      </c>
    </row>
    <row r="163" spans="1:10" x14ac:dyDescent="0.25">
      <c r="A163" s="819">
        <v>25</v>
      </c>
      <c r="B163" s="821"/>
      <c r="C163" s="782"/>
      <c r="D163" s="783"/>
      <c r="E163" s="783"/>
      <c r="F163" s="783"/>
      <c r="G163" s="783"/>
      <c r="H163" s="783"/>
      <c r="I163" s="783"/>
      <c r="J163" s="97" t="e">
        <f>SUM(I139:I162)</f>
        <v>#REF!</v>
      </c>
    </row>
    <row r="164" spans="1:10" x14ac:dyDescent="0.25">
      <c r="A164" s="93">
        <v>26</v>
      </c>
      <c r="B164" s="96"/>
      <c r="C164" s="94"/>
      <c r="D164" s="95"/>
      <c r="E164" s="95"/>
      <c r="F164" s="95"/>
      <c r="G164" s="95"/>
      <c r="H164" s="95"/>
      <c r="I164" s="63"/>
    </row>
    <row r="165" spans="1:10" x14ac:dyDescent="0.25">
      <c r="A165" s="93">
        <v>27</v>
      </c>
      <c r="B165" s="65"/>
      <c r="C165" s="33"/>
      <c r="D165" s="34"/>
      <c r="E165" s="34"/>
      <c r="F165" s="34"/>
      <c r="G165" s="34"/>
      <c r="H165" s="34"/>
      <c r="I165" s="63"/>
    </row>
    <row r="166" spans="1:10" x14ac:dyDescent="0.25">
      <c r="A166" s="93">
        <v>28</v>
      </c>
      <c r="B166" s="65"/>
      <c r="C166" s="33"/>
      <c r="D166" s="34"/>
      <c r="E166" s="34"/>
      <c r="F166" s="34"/>
      <c r="G166" s="34"/>
      <c r="H166" s="34"/>
      <c r="I166" s="63"/>
    </row>
    <row r="167" spans="1:10" x14ac:dyDescent="0.25">
      <c r="A167" s="93">
        <v>29</v>
      </c>
      <c r="B167" s="65"/>
      <c r="C167" s="33"/>
      <c r="D167" s="34"/>
      <c r="E167" s="34"/>
      <c r="F167" s="34"/>
      <c r="G167" s="34"/>
      <c r="H167" s="34"/>
      <c r="I167" s="63"/>
    </row>
    <row r="168" spans="1:10" x14ac:dyDescent="0.25">
      <c r="A168" s="93">
        <v>30</v>
      </c>
      <c r="B168" s="65"/>
      <c r="C168" s="33"/>
      <c r="D168" s="34"/>
      <c r="E168" s="34"/>
      <c r="F168" s="34"/>
      <c r="G168" s="34"/>
      <c r="H168" s="34"/>
      <c r="I168" s="63"/>
    </row>
    <row r="169" spans="1:10" x14ac:dyDescent="0.25">
      <c r="A169" s="93">
        <v>31</v>
      </c>
      <c r="B169" s="65"/>
      <c r="C169" s="33"/>
      <c r="D169" s="34"/>
      <c r="E169" s="34"/>
      <c r="F169" s="34"/>
      <c r="G169" s="34"/>
      <c r="H169" s="34"/>
      <c r="I169" s="63"/>
    </row>
    <row r="170" spans="1:10" x14ac:dyDescent="0.25">
      <c r="A170" s="93">
        <v>32</v>
      </c>
      <c r="B170" s="65"/>
      <c r="C170" s="33"/>
      <c r="D170" s="34"/>
      <c r="E170" s="34"/>
      <c r="F170" s="34"/>
      <c r="G170" s="34"/>
      <c r="H170" s="34"/>
      <c r="J170" s="66"/>
    </row>
    <row r="171" spans="1:10" x14ac:dyDescent="0.25">
      <c r="A171" s="98">
        <v>33</v>
      </c>
      <c r="B171" s="65"/>
      <c r="C171" s="33"/>
      <c r="D171" s="34"/>
      <c r="E171" s="34"/>
      <c r="F171" s="34"/>
      <c r="G171" s="34"/>
      <c r="H171" s="34"/>
      <c r="I171" s="63"/>
      <c r="J171" s="66"/>
    </row>
    <row r="173" spans="1:10" x14ac:dyDescent="0.25">
      <c r="J173" s="66"/>
    </row>
  </sheetData>
  <mergeCells count="5">
    <mergeCell ref="A1:H1"/>
    <mergeCell ref="A2:C2"/>
    <mergeCell ref="D2:H2"/>
    <mergeCell ref="A4:C4"/>
    <mergeCell ref="D4:H4"/>
  </mergeCells>
  <pageMargins left="0.25" right="0.25" top="0.75" bottom="0.75" header="0.3" footer="0.3"/>
  <pageSetup scale="65" orientation="landscape" horizontalDpi="300" verticalDpi="300"/>
  <headerFooter>
    <oddHeader>&amp;C&amp;"Arial,Bold"Staunton, VA
Interface Functional Requirements&amp;R&amp;"Arial,Bold"&amp;A</oddHeader>
    <oddFooter>&amp;L&amp;"Arial,Bold"&amp;10Federal Engineering, March 2024 ©&amp;R&amp;"Arial,Bold"&amp;10&amp;P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pageSetUpPr fitToPage="1"/>
  </sheetPr>
  <dimension ref="A1:Q28"/>
  <sheetViews>
    <sheetView zoomScaleNormal="100" workbookViewId="0">
      <selection activeCell="O3" sqref="O3:Q6"/>
    </sheetView>
  </sheetViews>
  <sheetFormatPr defaultColWidth="9" defaultRowHeight="15.6" x14ac:dyDescent="0.3"/>
  <cols>
    <col min="1" max="1" width="10.59765625" style="113" customWidth="1"/>
    <col min="2" max="2" width="14.59765625" style="113" customWidth="1"/>
    <col min="3" max="3" width="65.59765625" style="114" customWidth="1"/>
    <col min="4" max="4" width="65.59765625" style="115" customWidth="1"/>
    <col min="5" max="5" width="10.59765625" style="115" hidden="1" customWidth="1"/>
    <col min="6" max="6" width="6.59765625" style="115" hidden="1" customWidth="1"/>
    <col min="7" max="7" width="30.59765625" style="115" customWidth="1"/>
    <col min="8" max="11" width="8.59765625" style="115" hidden="1" customWidth="1"/>
    <col min="12" max="12" width="0" style="115" hidden="1" customWidth="1"/>
    <col min="13" max="13" width="9" style="842"/>
    <col min="14" max="16384" width="9" style="115"/>
  </cols>
  <sheetData>
    <row r="1" spans="1:17" ht="105" customHeight="1" thickBot="1" x14ac:dyDescent="0.35">
      <c r="A1" s="366" t="s">
        <v>102</v>
      </c>
      <c r="B1" s="119" t="s">
        <v>103</v>
      </c>
      <c r="C1" s="366" t="str">
        <f>'Support Data'!A18</f>
        <v>Specifications</v>
      </c>
      <c r="D1" s="367" t="str">
        <f>'Support Data'!$A$19</f>
        <v>Contractor Work Area</v>
      </c>
      <c r="E1" s="367" t="str">
        <f>'Support Data'!A20</f>
        <v>Def ID</v>
      </c>
      <c r="F1" s="368" t="s">
        <v>78</v>
      </c>
      <c r="G1" s="367" t="str">
        <f>'Support Data'!A22</f>
        <v>Availability</v>
      </c>
      <c r="H1" s="123" t="str">
        <f>'Support Data'!A24</f>
        <v>Summary</v>
      </c>
      <c r="I1" s="123" t="str">
        <f>'Support Data'!A25</f>
        <v>Spec Weight</v>
      </c>
      <c r="J1" s="123" t="str">
        <f>'Support Data'!A26</f>
        <v>Avail Weight</v>
      </c>
      <c r="K1" s="123" t="str">
        <f>'Support Data'!A27</f>
        <v>Score</v>
      </c>
      <c r="L1" s="123" t="s">
        <v>104</v>
      </c>
      <c r="M1" s="838"/>
    </row>
    <row r="2" spans="1:17" x14ac:dyDescent="0.3">
      <c r="A2" s="369" t="s">
        <v>571</v>
      </c>
      <c r="B2" s="370" t="s">
        <v>572</v>
      </c>
      <c r="C2" s="371"/>
      <c r="D2" s="372"/>
      <c r="E2" s="372"/>
      <c r="F2" s="372"/>
      <c r="G2" s="837"/>
      <c r="H2" s="264">
        <f>COUNTA(B3:B28)</f>
        <v>22</v>
      </c>
      <c r="K2" s="115">
        <f>SUM(K3:K28)</f>
        <v>0</v>
      </c>
    </row>
    <row r="3" spans="1:17" ht="68.25" customHeight="1" x14ac:dyDescent="0.3">
      <c r="A3" s="373" t="str">
        <f>IF(L3=1,"ECite-DMV-"&amp;TEXT(COUNTIF($L$3:L3, "1"), "0"), "")</f>
        <v>ECite-DMV-1</v>
      </c>
      <c r="B3" s="183" t="s">
        <v>43</v>
      </c>
      <c r="C3" s="374" t="s">
        <v>573</v>
      </c>
      <c r="D3" s="375"/>
      <c r="E3" s="168"/>
      <c r="F3" s="166">
        <v>1</v>
      </c>
      <c r="G3" s="137" t="s">
        <v>101</v>
      </c>
      <c r="H3" s="131">
        <f>COUNTIF(G:G,"=Select from Drop Down List")</f>
        <v>22</v>
      </c>
      <c r="I3" s="116">
        <f>IF(NOT(ISBLANK($B3)),VLOOKUP($B3,specdata,2,FALSE()),"")</f>
        <v>1</v>
      </c>
      <c r="J3" s="116">
        <f>VLOOKUP(G3,AvailabilityData,2,FALSE())</f>
        <v>0</v>
      </c>
      <c r="K3" s="116">
        <f>I3*J3</f>
        <v>0</v>
      </c>
      <c r="L3" s="115">
        <v>1</v>
      </c>
      <c r="O3" s="857"/>
      <c r="P3" s="857"/>
      <c r="Q3" s="857"/>
    </row>
    <row r="4" spans="1:17" ht="31.2" x14ac:dyDescent="0.3">
      <c r="A4" s="373" t="str">
        <f>IF(L4=1,"ECite-DMV-"&amp;TEXT(COUNTIF($L$3:L4, "1"), "0"), "")</f>
        <v>ECite-DMV-2</v>
      </c>
      <c r="B4" s="183" t="s">
        <v>43</v>
      </c>
      <c r="C4" s="374" t="s">
        <v>574</v>
      </c>
      <c r="D4" s="375"/>
      <c r="E4" s="168"/>
      <c r="F4" s="166">
        <v>1</v>
      </c>
      <c r="G4" s="137" t="s">
        <v>101</v>
      </c>
      <c r="H4" s="131">
        <f>COUNTIF(G:G,"=Function Available")</f>
        <v>0</v>
      </c>
      <c r="I4" s="116">
        <f>IF(NOT(ISBLANK($B4)),VLOOKUP($B4,specdata,2,FALSE()),"")</f>
        <v>1</v>
      </c>
      <c r="J4" s="116">
        <f>VLOOKUP(G4,AvailabilityData,2,FALSE())</f>
        <v>0</v>
      </c>
      <c r="K4" s="116">
        <f>I4*J4</f>
        <v>0</v>
      </c>
      <c r="L4" s="115">
        <v>1</v>
      </c>
      <c r="O4" s="857"/>
      <c r="P4" s="857"/>
      <c r="Q4" s="857"/>
    </row>
    <row r="5" spans="1:17" ht="30" customHeight="1" x14ac:dyDescent="0.3">
      <c r="A5" s="373" t="str">
        <f>IF(L5=1,"ECite-DMV-"&amp;TEXT(COUNTIF($L$3:L5, "1"), "0"), "")</f>
        <v>ECite-DMV-3</v>
      </c>
      <c r="B5" s="260" t="s">
        <v>43</v>
      </c>
      <c r="C5" s="271" t="s">
        <v>575</v>
      </c>
      <c r="D5" s="323"/>
      <c r="E5" s="327"/>
      <c r="F5" s="173">
        <v>1</v>
      </c>
      <c r="G5" s="137" t="s">
        <v>101</v>
      </c>
      <c r="H5" s="131">
        <f>COUNTIF(F:G,"=Function Not Available")</f>
        <v>0</v>
      </c>
      <c r="I5" s="116">
        <f>IF(NOT(ISBLANK($B5)),VLOOKUP($B5,specdata,2,FALSE()),"")</f>
        <v>1</v>
      </c>
      <c r="J5" s="116">
        <f>VLOOKUP(G5,AvailabilityData,2,FALSE())</f>
        <v>0</v>
      </c>
      <c r="K5" s="116">
        <f>I5*J5</f>
        <v>0</v>
      </c>
      <c r="L5" s="115">
        <v>1</v>
      </c>
      <c r="O5" s="857"/>
      <c r="P5" s="857"/>
      <c r="Q5" s="857"/>
    </row>
    <row r="6" spans="1:17" ht="30" customHeight="1" x14ac:dyDescent="0.3">
      <c r="A6" s="376"/>
      <c r="B6" s="126"/>
      <c r="C6" s="286" t="s">
        <v>576</v>
      </c>
      <c r="D6" s="194"/>
      <c r="E6" s="130"/>
      <c r="F6" s="181"/>
      <c r="G6" s="848"/>
      <c r="H6" s="131">
        <f>COUNTIF(G:G,"=Exception")</f>
        <v>0</v>
      </c>
      <c r="I6" s="116"/>
      <c r="J6" s="116"/>
      <c r="K6" s="116"/>
      <c r="O6" s="857"/>
      <c r="P6" s="857"/>
      <c r="Q6" s="857"/>
    </row>
    <row r="7" spans="1:17" ht="30" customHeight="1" x14ac:dyDescent="0.3">
      <c r="A7" s="373" t="str">
        <f>IF(L7=1,"ECite-DMV-"&amp;TEXT(COUNTIF($L$3:L7, "1"), "0"), "")</f>
        <v>ECite-DMV-4</v>
      </c>
      <c r="B7" s="183" t="s">
        <v>43</v>
      </c>
      <c r="C7" s="278" t="s">
        <v>577</v>
      </c>
      <c r="D7" s="185"/>
      <c r="E7" s="328"/>
      <c r="F7" s="191">
        <v>1</v>
      </c>
      <c r="G7" s="187" t="s">
        <v>101</v>
      </c>
      <c r="H7" s="140">
        <f>COUNTIFS(B:B,"=Critical",G:G,"=Select from Drop Down List")</f>
        <v>0</v>
      </c>
      <c r="I7" s="116">
        <f t="shared" ref="I7:I15" si="0">IF(NOT(ISBLANK($B7)),VLOOKUP($B7,specdata,2,FALSE()),"")</f>
        <v>1</v>
      </c>
      <c r="J7" s="116">
        <f t="shared" ref="J7:J15" si="1">VLOOKUP(G7,AvailabilityData,2,FALSE())</f>
        <v>0</v>
      </c>
      <c r="K7" s="116">
        <f t="shared" ref="K7:K15" si="2">I7*J7</f>
        <v>0</v>
      </c>
      <c r="L7" s="115">
        <v>1</v>
      </c>
    </row>
    <row r="8" spans="1:17" ht="30" customHeight="1" x14ac:dyDescent="0.3">
      <c r="A8" s="373" t="str">
        <f>IF(L8=1,"ECite-DMV-"&amp;TEXT(COUNTIF($L$3:L8, "1"), "0"), "")</f>
        <v>ECite-DMV-5</v>
      </c>
      <c r="B8" s="260" t="s">
        <v>43</v>
      </c>
      <c r="C8" s="377" t="s">
        <v>578</v>
      </c>
      <c r="D8" s="378"/>
      <c r="E8" s="327"/>
      <c r="F8" s="173">
        <v>1</v>
      </c>
      <c r="G8" s="137" t="s">
        <v>101</v>
      </c>
      <c r="H8" s="140">
        <f>COUNTIFS(B:B,"=Critical",G:G,"=Function Available")</f>
        <v>0</v>
      </c>
      <c r="I8" s="116">
        <f t="shared" si="0"/>
        <v>1</v>
      </c>
      <c r="J8" s="116">
        <f t="shared" si="1"/>
        <v>0</v>
      </c>
      <c r="K8" s="116">
        <f t="shared" si="2"/>
        <v>0</v>
      </c>
      <c r="L8" s="115">
        <v>1</v>
      </c>
    </row>
    <row r="9" spans="1:17" ht="30" customHeight="1" x14ac:dyDescent="0.3">
      <c r="A9" s="373" t="str">
        <f>IF(L9=1,"ECite-DMV-"&amp;TEXT(COUNTIF($L$3:L9, "1"), "0"), "")</f>
        <v>ECite-DMV-6</v>
      </c>
      <c r="B9" s="133" t="s">
        <v>43</v>
      </c>
      <c r="C9" s="379" t="s">
        <v>579</v>
      </c>
      <c r="D9" s="380"/>
      <c r="E9" s="326"/>
      <c r="F9" s="137">
        <v>1</v>
      </c>
      <c r="G9" s="240" t="s">
        <v>101</v>
      </c>
      <c r="H9" s="140">
        <f>COUNTIFS(B:B,"=Critical",G:G,"=Function Not Available")</f>
        <v>0</v>
      </c>
      <c r="I9" s="116">
        <f t="shared" si="0"/>
        <v>1</v>
      </c>
      <c r="J9" s="116">
        <f t="shared" si="1"/>
        <v>0</v>
      </c>
      <c r="K9" s="116">
        <f t="shared" si="2"/>
        <v>0</v>
      </c>
      <c r="L9" s="115">
        <v>1</v>
      </c>
    </row>
    <row r="10" spans="1:17" ht="30" customHeight="1" x14ac:dyDescent="0.3">
      <c r="A10" s="373" t="str">
        <f>IF(L10=1,"ECite-DMV-"&amp;TEXT(COUNTIF($L$3:L10, "1"), "0"), "")</f>
        <v>ECite-DMV-7</v>
      </c>
      <c r="B10" s="133" t="s">
        <v>43</v>
      </c>
      <c r="C10" s="379" t="s">
        <v>580</v>
      </c>
      <c r="D10" s="380"/>
      <c r="E10" s="326"/>
      <c r="F10" s="137">
        <v>1</v>
      </c>
      <c r="G10" s="240" t="s">
        <v>101</v>
      </c>
      <c r="H10" s="140">
        <f>COUNTIFS(B:B,"=Critical",G:G,"=Exception")</f>
        <v>0</v>
      </c>
      <c r="I10" s="116">
        <f t="shared" si="0"/>
        <v>1</v>
      </c>
      <c r="J10" s="116">
        <f t="shared" si="1"/>
        <v>0</v>
      </c>
      <c r="K10" s="116">
        <f t="shared" si="2"/>
        <v>0</v>
      </c>
      <c r="L10" s="115">
        <v>1</v>
      </c>
    </row>
    <row r="11" spans="1:17" ht="30" customHeight="1" x14ac:dyDescent="0.3">
      <c r="A11" s="373" t="str">
        <f>IF(L11=1,"ECite-DMV-"&amp;TEXT(COUNTIF($L$3:L11, "1"), "0"), "")</f>
        <v>ECite-DMV-8</v>
      </c>
      <c r="B11" s="133" t="s">
        <v>43</v>
      </c>
      <c r="C11" s="379" t="s">
        <v>581</v>
      </c>
      <c r="D11" s="380"/>
      <c r="E11" s="326"/>
      <c r="F11" s="137">
        <v>1</v>
      </c>
      <c r="G11" s="240" t="s">
        <v>101</v>
      </c>
      <c r="H11" s="146">
        <f>COUNTIFS(B:B,"=Important",G:G,"=Select from Drop Down List")</f>
        <v>22</v>
      </c>
      <c r="I11" s="116">
        <f t="shared" si="0"/>
        <v>1</v>
      </c>
      <c r="J11" s="116">
        <f t="shared" si="1"/>
        <v>0</v>
      </c>
      <c r="K11" s="116">
        <f t="shared" si="2"/>
        <v>0</v>
      </c>
      <c r="L11" s="115">
        <v>1</v>
      </c>
    </row>
    <row r="12" spans="1:17" ht="30" customHeight="1" x14ac:dyDescent="0.3">
      <c r="A12" s="373" t="str">
        <f>IF(L12=1,"ECite-DMV-"&amp;TEXT(COUNTIF($L$3:L12, "1"), "0"), "")</f>
        <v>ECite-DMV-9</v>
      </c>
      <c r="B12" s="133" t="s">
        <v>43</v>
      </c>
      <c r="C12" s="379" t="s">
        <v>582</v>
      </c>
      <c r="D12" s="380"/>
      <c r="E12" s="326"/>
      <c r="F12" s="137">
        <v>1</v>
      </c>
      <c r="G12" s="240" t="s">
        <v>101</v>
      </c>
      <c r="H12" s="146">
        <f>COUNTIFS(B:B,"=Important",G:G,"=Function Available")</f>
        <v>0</v>
      </c>
      <c r="I12" s="116">
        <f t="shared" si="0"/>
        <v>1</v>
      </c>
      <c r="J12" s="116">
        <f t="shared" si="1"/>
        <v>0</v>
      </c>
      <c r="K12" s="116">
        <f t="shared" si="2"/>
        <v>0</v>
      </c>
      <c r="L12" s="115">
        <v>1</v>
      </c>
    </row>
    <row r="13" spans="1:17" ht="30" customHeight="1" x14ac:dyDescent="0.3">
      <c r="A13" s="373" t="str">
        <f>IF(L13=1,"ECite-DMV-"&amp;TEXT(COUNTIF($L$3:L13, "1"), "0"), "")</f>
        <v>ECite-DMV-10</v>
      </c>
      <c r="B13" s="133" t="s">
        <v>43</v>
      </c>
      <c r="C13" s="379" t="s">
        <v>583</v>
      </c>
      <c r="D13" s="380"/>
      <c r="E13" s="326"/>
      <c r="F13" s="137">
        <v>1</v>
      </c>
      <c r="G13" s="240" t="s">
        <v>101</v>
      </c>
      <c r="H13" s="146">
        <f>COUNTIFS(B:B,"=Important",G:G,"=Function Not Available")</f>
        <v>0</v>
      </c>
      <c r="I13" s="116">
        <f t="shared" si="0"/>
        <v>1</v>
      </c>
      <c r="J13" s="116">
        <f t="shared" si="1"/>
        <v>0</v>
      </c>
      <c r="K13" s="116">
        <f t="shared" si="2"/>
        <v>0</v>
      </c>
      <c r="L13" s="115">
        <v>1</v>
      </c>
    </row>
    <row r="14" spans="1:17" ht="30" customHeight="1" x14ac:dyDescent="0.3">
      <c r="A14" s="373" t="str">
        <f>IF(L14=1,"ECite-DMV-"&amp;TEXT(COUNTIF($L$3:L14, "1"), "0"), "")</f>
        <v>ECite-DMV-11</v>
      </c>
      <c r="B14" s="183" t="s">
        <v>43</v>
      </c>
      <c r="C14" s="381" t="s">
        <v>584</v>
      </c>
      <c r="D14" s="382"/>
      <c r="E14" s="328"/>
      <c r="F14" s="191">
        <v>1</v>
      </c>
      <c r="G14" s="137" t="s">
        <v>101</v>
      </c>
      <c r="H14" s="146">
        <f>COUNTIFS(B:B,"=Important",G:G,"=Exception")</f>
        <v>0</v>
      </c>
      <c r="I14" s="116">
        <f t="shared" si="0"/>
        <v>1</v>
      </c>
      <c r="J14" s="116">
        <f t="shared" si="1"/>
        <v>0</v>
      </c>
      <c r="K14" s="116">
        <f t="shared" si="2"/>
        <v>0</v>
      </c>
      <c r="L14" s="115">
        <v>1</v>
      </c>
    </row>
    <row r="15" spans="1:17" ht="30" customHeight="1" x14ac:dyDescent="0.3">
      <c r="A15" s="373" t="str">
        <f>IF(L15=1,"ECite-DMV-"&amp;TEXT(COUNTIF($L$3:L15, "1"), "0"), "")</f>
        <v>ECite-DMV-12</v>
      </c>
      <c r="B15" s="260" t="s">
        <v>43</v>
      </c>
      <c r="C15" s="383" t="s">
        <v>585</v>
      </c>
      <c r="D15" s="384"/>
      <c r="E15" s="327"/>
      <c r="F15" s="173">
        <v>1</v>
      </c>
      <c r="G15" s="137" t="s">
        <v>101</v>
      </c>
      <c r="H15" s="147">
        <f>COUNTIFS(B:B,"=Informational",G:G,"=Select from Drop Down List")</f>
        <v>0</v>
      </c>
      <c r="I15" s="116">
        <f t="shared" si="0"/>
        <v>1</v>
      </c>
      <c r="J15" s="116">
        <f t="shared" si="1"/>
        <v>0</v>
      </c>
      <c r="K15" s="116">
        <f t="shared" si="2"/>
        <v>0</v>
      </c>
      <c r="L15" s="115">
        <v>1</v>
      </c>
    </row>
    <row r="16" spans="1:17" ht="30" customHeight="1" x14ac:dyDescent="0.3">
      <c r="A16" s="376"/>
      <c r="B16" s="126"/>
      <c r="C16" s="385" t="s">
        <v>168</v>
      </c>
      <c r="D16" s="386"/>
      <c r="E16" s="130"/>
      <c r="F16" s="181"/>
      <c r="G16" s="848"/>
      <c r="H16" s="147">
        <f>COUNTIFS(B:B,"=Informational",G:G,"=Function Available")</f>
        <v>0</v>
      </c>
      <c r="I16" s="116"/>
      <c r="J16" s="116"/>
      <c r="K16" s="116"/>
    </row>
    <row r="17" spans="1:12" ht="30" customHeight="1" x14ac:dyDescent="0.3">
      <c r="A17" s="373" t="str">
        <f>IF(L17=1,"ECite-DMV-"&amp;TEXT(COUNTIF($L$3:L17, "1"), "0"), "")</f>
        <v>ECite-DMV-13</v>
      </c>
      <c r="B17" s="183" t="s">
        <v>43</v>
      </c>
      <c r="C17" s="387" t="s">
        <v>185</v>
      </c>
      <c r="D17" s="382"/>
      <c r="E17" s="328"/>
      <c r="F17" s="191">
        <v>1</v>
      </c>
      <c r="G17" s="187" t="s">
        <v>101</v>
      </c>
      <c r="H17" s="147">
        <f>COUNTIFS(B:B,"=Informational",G:G,"=Function Not Available")</f>
        <v>0</v>
      </c>
      <c r="I17" s="116">
        <f t="shared" ref="I17:I19" si="3">IF(NOT(ISBLANK($B17)),VLOOKUP($B17,specdata,2,FALSE()),"")</f>
        <v>1</v>
      </c>
      <c r="J17" s="116">
        <f t="shared" ref="J17:J19" si="4">VLOOKUP(G17,AvailabilityData,2,FALSE())</f>
        <v>0</v>
      </c>
      <c r="K17" s="116">
        <f t="shared" ref="K17:K19" si="5">I17*J17</f>
        <v>0</v>
      </c>
      <c r="L17" s="115">
        <v>1</v>
      </c>
    </row>
    <row r="18" spans="1:12" ht="30" customHeight="1" x14ac:dyDescent="0.3">
      <c r="A18" s="373" t="str">
        <f>IF(L18=1,"ECite-DMV-"&amp;TEXT(COUNTIF($L$3:L18, "1"), "0"), "")</f>
        <v>ECite-DMV-14</v>
      </c>
      <c r="B18" s="183" t="s">
        <v>43</v>
      </c>
      <c r="C18" s="379" t="s">
        <v>170</v>
      </c>
      <c r="D18" s="380"/>
      <c r="E18" s="326"/>
      <c r="F18" s="166">
        <v>1</v>
      </c>
      <c r="G18" s="137" t="s">
        <v>101</v>
      </c>
      <c r="H18" s="147">
        <f>COUNTIFS(B:B,"=Informational",G:G,"=Exception")</f>
        <v>0</v>
      </c>
      <c r="I18" s="116">
        <f t="shared" si="3"/>
        <v>1</v>
      </c>
      <c r="J18" s="116">
        <f t="shared" si="4"/>
        <v>0</v>
      </c>
      <c r="K18" s="116">
        <f t="shared" si="5"/>
        <v>0</v>
      </c>
      <c r="L18" s="115">
        <v>1</v>
      </c>
    </row>
    <row r="19" spans="1:12" ht="30" customHeight="1" x14ac:dyDescent="0.3">
      <c r="A19" s="373" t="str">
        <f>IF(L19=1,"ECite-DMV-"&amp;TEXT(COUNTIF($L$3:L19, "1"), "0"), "")</f>
        <v>ECite-DMV-15</v>
      </c>
      <c r="B19" s="260" t="s">
        <v>43</v>
      </c>
      <c r="C19" s="383" t="s">
        <v>207</v>
      </c>
      <c r="D19" s="384"/>
      <c r="E19" s="327"/>
      <c r="F19" s="173">
        <v>1</v>
      </c>
      <c r="G19" s="137" t="s">
        <v>101</v>
      </c>
      <c r="I19" s="116">
        <f t="shared" si="3"/>
        <v>1</v>
      </c>
      <c r="J19" s="116">
        <f t="shared" si="4"/>
        <v>0</v>
      </c>
      <c r="K19" s="116">
        <f t="shared" si="5"/>
        <v>0</v>
      </c>
      <c r="L19" s="115">
        <v>1</v>
      </c>
    </row>
    <row r="20" spans="1:12" x14ac:dyDescent="0.3">
      <c r="A20" s="376"/>
      <c r="B20" s="126"/>
      <c r="C20" s="385" t="s">
        <v>165</v>
      </c>
      <c r="D20" s="386"/>
      <c r="E20" s="130"/>
      <c r="F20" s="181"/>
      <c r="G20" s="848"/>
      <c r="I20" s="116"/>
      <c r="J20" s="116"/>
      <c r="K20" s="116"/>
    </row>
    <row r="21" spans="1:12" ht="30" customHeight="1" x14ac:dyDescent="0.3">
      <c r="A21" s="373" t="str">
        <f>IF(L21=1,"ECite-DMV-"&amp;TEXT(COUNTIF($L$3:L21, "1"), "0"), "")</f>
        <v>ECite-DMV-16</v>
      </c>
      <c r="B21" s="183" t="s">
        <v>43</v>
      </c>
      <c r="C21" s="381" t="s">
        <v>208</v>
      </c>
      <c r="D21" s="382"/>
      <c r="E21" s="388"/>
      <c r="F21" s="191">
        <v>1</v>
      </c>
      <c r="G21" s="187" t="s">
        <v>101</v>
      </c>
      <c r="I21" s="116">
        <f>IF(NOT(ISBLANK($B21)),VLOOKUP($B21,specdata,2,FALSE()),"")</f>
        <v>1</v>
      </c>
      <c r="J21" s="116">
        <f>VLOOKUP(G21,AvailabilityData,2,FALSE())</f>
        <v>0</v>
      </c>
      <c r="K21" s="116">
        <f>I21*J21</f>
        <v>0</v>
      </c>
      <c r="L21" s="115">
        <v>1</v>
      </c>
    </row>
    <row r="22" spans="1:12" ht="30" customHeight="1" x14ac:dyDescent="0.3">
      <c r="A22" s="373" t="str">
        <f>IF(L22=1,"ECite-DMV-"&amp;TEXT(COUNTIF($L$3:L22, "1"), "0"), "")</f>
        <v>ECite-DMV-17</v>
      </c>
      <c r="B22" s="183" t="s">
        <v>43</v>
      </c>
      <c r="C22" s="389" t="s">
        <v>586</v>
      </c>
      <c r="D22" s="380"/>
      <c r="E22" s="390"/>
      <c r="F22" s="166">
        <v>1</v>
      </c>
      <c r="G22" s="137" t="s">
        <v>101</v>
      </c>
      <c r="I22" s="116">
        <f>IF(NOT(ISBLANK($B22)),VLOOKUP($B22,specdata,2,FALSE()),"")</f>
        <v>1</v>
      </c>
      <c r="J22" s="116">
        <f>VLOOKUP(G22,AvailabilityData,2,FALSE())</f>
        <v>0</v>
      </c>
      <c r="K22" s="116">
        <f>I22*J22</f>
        <v>0</v>
      </c>
      <c r="L22" s="115">
        <v>1</v>
      </c>
    </row>
    <row r="23" spans="1:12" ht="30" customHeight="1" x14ac:dyDescent="0.3">
      <c r="A23" s="373" t="str">
        <f>IF(L23=1,"ECite-DMV-"&amp;TEXT(COUNTIF($L$3:L23, "1"), "0"), "")</f>
        <v>ECite-DMV-18</v>
      </c>
      <c r="B23" s="183" t="s">
        <v>43</v>
      </c>
      <c r="C23" s="389" t="s">
        <v>210</v>
      </c>
      <c r="D23" s="380"/>
      <c r="E23" s="390"/>
      <c r="F23" s="166">
        <v>1</v>
      </c>
      <c r="G23" s="137" t="s">
        <v>101</v>
      </c>
      <c r="I23" s="116">
        <f>IF(NOT(ISBLANK($B23)),VLOOKUP($B23,specdata,2,FALSE()),"")</f>
        <v>1</v>
      </c>
      <c r="J23" s="116">
        <f>VLOOKUP(G23,AvailabilityData,2,FALSE())</f>
        <v>0</v>
      </c>
      <c r="K23" s="116">
        <f>I23*J23</f>
        <v>0</v>
      </c>
      <c r="L23" s="115">
        <v>1</v>
      </c>
    </row>
    <row r="24" spans="1:12" ht="30" customHeight="1" x14ac:dyDescent="0.3">
      <c r="A24" s="373" t="str">
        <f>IF(L24=1,"ECite-DMV-"&amp;TEXT(COUNTIF($L$3:L24, "1"), "0"), "")</f>
        <v>ECite-DMV-19</v>
      </c>
      <c r="B24" s="260" t="s">
        <v>43</v>
      </c>
      <c r="C24" s="391" t="s">
        <v>211</v>
      </c>
      <c r="D24" s="384"/>
      <c r="E24" s="392"/>
      <c r="F24" s="173">
        <v>1</v>
      </c>
      <c r="G24" s="137" t="s">
        <v>101</v>
      </c>
      <c r="I24" s="116">
        <f>IF(NOT(ISBLANK($B24)),VLOOKUP($B24,specdata,2,FALSE()),"")</f>
        <v>1</v>
      </c>
      <c r="J24" s="116">
        <f>VLOOKUP(G24,AvailabilityData,2,FALSE())</f>
        <v>0</v>
      </c>
      <c r="K24" s="116">
        <f>I24*J24</f>
        <v>0</v>
      </c>
      <c r="L24" s="115">
        <v>1</v>
      </c>
    </row>
    <row r="25" spans="1:12" x14ac:dyDescent="0.3">
      <c r="A25" s="376"/>
      <c r="B25" s="126"/>
      <c r="C25" s="286" t="s">
        <v>174</v>
      </c>
      <c r="D25" s="386"/>
      <c r="E25" s="130"/>
      <c r="F25" s="181"/>
      <c r="G25" s="848"/>
      <c r="I25" s="116"/>
      <c r="J25" s="116"/>
      <c r="K25" s="116"/>
    </row>
    <row r="26" spans="1:12" ht="30" customHeight="1" x14ac:dyDescent="0.3">
      <c r="A26" s="373" t="str">
        <f>IF(L26=1,"ECite-DMV-"&amp;TEXT(COUNTIF($L$3:L26, "1"), "0"), "")</f>
        <v>ECite-DMV-20</v>
      </c>
      <c r="B26" s="183" t="s">
        <v>43</v>
      </c>
      <c r="C26" s="381" t="s">
        <v>587</v>
      </c>
      <c r="D26" s="382"/>
      <c r="E26" s="328"/>
      <c r="F26" s="191">
        <v>1</v>
      </c>
      <c r="G26" s="187" t="s">
        <v>101</v>
      </c>
      <c r="I26" s="116">
        <f>IF(NOT(ISBLANK($B26)),VLOOKUP($B26,specdata,2,FALSE()),"")</f>
        <v>1</v>
      </c>
      <c r="J26" s="116">
        <f>VLOOKUP(G26,AvailabilityData,2,FALSE())</f>
        <v>0</v>
      </c>
      <c r="K26" s="116">
        <f>I26*J26</f>
        <v>0</v>
      </c>
      <c r="L26" s="115">
        <v>1</v>
      </c>
    </row>
    <row r="27" spans="1:12" ht="46.8" x14ac:dyDescent="0.3">
      <c r="A27" s="373" t="str">
        <f>IF(L27=1,"ECite-DMV-"&amp;TEXT(COUNTIF($L$3:L27, "1"), "0"), "")</f>
        <v>ECite-DMV-21</v>
      </c>
      <c r="B27" s="183" t="s">
        <v>43</v>
      </c>
      <c r="C27" s="389" t="s">
        <v>193</v>
      </c>
      <c r="D27" s="380"/>
      <c r="E27" s="326"/>
      <c r="F27" s="166">
        <v>1</v>
      </c>
      <c r="G27" s="137" t="s">
        <v>101</v>
      </c>
      <c r="I27" s="116">
        <f>IF(NOT(ISBLANK($B27)),VLOOKUP($B27,specdata,2,FALSE()),"")</f>
        <v>1</v>
      </c>
      <c r="J27" s="116">
        <f>VLOOKUP(G27,AvailabilityData,2,FALSE())</f>
        <v>0</v>
      </c>
      <c r="K27" s="116">
        <f>I27*J27</f>
        <v>0</v>
      </c>
      <c r="L27" s="115">
        <v>1</v>
      </c>
    </row>
    <row r="28" spans="1:12" ht="46.8" x14ac:dyDescent="0.3">
      <c r="A28" s="373" t="str">
        <f>IF(L28=1,"ECite-DMV-"&amp;TEXT(COUNTIF($L$3:L28, "1"), "0"), "")</f>
        <v>ECite-DMV-22</v>
      </c>
      <c r="B28" s="183" t="s">
        <v>43</v>
      </c>
      <c r="C28" s="389" t="s">
        <v>588</v>
      </c>
      <c r="D28" s="380"/>
      <c r="E28" s="326"/>
      <c r="F28" s="166">
        <v>1</v>
      </c>
      <c r="G28" s="137" t="s">
        <v>101</v>
      </c>
      <c r="I28" s="116">
        <f>IF(NOT(ISBLANK($B28)),VLOOKUP($B28,specdata,2,FALSE()),"")</f>
        <v>1</v>
      </c>
      <c r="J28" s="116">
        <f>VLOOKUP(G28,AvailabilityData,2,FALSE())</f>
        <v>0</v>
      </c>
      <c r="K28" s="116">
        <f>I28*J28</f>
        <v>0</v>
      </c>
      <c r="L28" s="115">
        <v>1</v>
      </c>
    </row>
  </sheetData>
  <sheetProtection algorithmName="SHA-512" hashValue="mb8M2XXsGZiyE/jTuo8OgUAHG6YP6DA+EnEFRL4feRe0pv5Ly5QZ0wMUdotI/MkiNT7y2gFsNwWDqy6Bk4X4Yg==" saltValue="kYvJev3g1kI0nuc1jeAOXQ==" spinCount="100000" sheet="1" objects="1" scenarios="1"/>
  <mergeCells count="1">
    <mergeCell ref="O3:Q6"/>
  </mergeCells>
  <conditionalFormatting sqref="B1:B1048576">
    <cfRule type="cellIs" dxfId="224" priority="2" operator="equal">
      <formula>"Informational"</formula>
    </cfRule>
    <cfRule type="cellIs" dxfId="223" priority="3" operator="equal">
      <formula>"Not Needed"</formula>
    </cfRule>
    <cfRule type="cellIs" dxfId="222" priority="4" operator="equal">
      <formula>"Critical"</formula>
    </cfRule>
    <cfRule type="cellIs" dxfId="221" priority="5" operator="equal">
      <formula>"Extremely Advantageous"</formula>
    </cfRule>
  </conditionalFormatting>
  <conditionalFormatting sqref="C8:D8">
    <cfRule type="cellIs" dxfId="220" priority="8" operator="equal">
      <formula>"Mandatory"</formula>
    </cfRule>
  </conditionalFormatting>
  <conditionalFormatting sqref="G1:G1048576">
    <cfRule type="cellIs" dxfId="219" priority="6" operator="equal">
      <formula>"Exception"</formula>
    </cfRule>
  </conditionalFormatting>
  <conditionalFormatting sqref="G3:G28">
    <cfRule type="cellIs" dxfId="218" priority="7" operator="equal">
      <formula>"Select from Drop Down List"</formula>
    </cfRule>
  </conditionalFormatting>
  <dataValidations count="2">
    <dataValidation type="list" allowBlank="1" showInputMessage="1" showErrorMessage="1" sqref="B3:B28" xr:uid="{00000000-0002-0000-1600-000000000000}">
      <formula1>SpecType</formula1>
      <formula2>0</formula2>
    </dataValidation>
    <dataValidation type="list" allowBlank="1" showInputMessage="1" showErrorMessage="1" sqref="G3:G5 G7:G15 G17:G19 G21:G24 G26:G28" xr:uid="{00000000-0002-0000-16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D8E5B1"/>
    <pageSetUpPr fitToPage="1"/>
  </sheetPr>
  <dimension ref="A1:P37"/>
  <sheetViews>
    <sheetView topLeftCell="B1" zoomScaleNormal="100" zoomScalePageLayoutView="80" workbookViewId="0">
      <selection activeCell="G1" sqref="G1"/>
    </sheetView>
  </sheetViews>
  <sheetFormatPr defaultColWidth="9" defaultRowHeight="13.8" x14ac:dyDescent="0.25"/>
  <cols>
    <col min="1" max="1" width="12.59765625" style="393" customWidth="1"/>
    <col min="2" max="2" width="14.59765625" style="195" customWidth="1"/>
    <col min="3" max="3" width="65.59765625" style="394" customWidth="1"/>
    <col min="4" max="4" width="65.59765625" style="395" customWidth="1"/>
    <col min="5" max="5" width="10.59765625" style="395" hidden="1" customWidth="1"/>
    <col min="6" max="6" width="6.59765625" style="395" hidden="1" customWidth="1"/>
    <col min="7" max="7" width="30.59765625" style="395" customWidth="1"/>
    <col min="8" max="11" width="8.59765625" style="396" customWidth="1"/>
    <col min="12" max="16384" width="9" style="396"/>
  </cols>
  <sheetData>
    <row r="1" spans="1:16" s="399" customFormat="1" ht="105" customHeight="1" x14ac:dyDescent="0.25">
      <c r="A1" s="366" t="s">
        <v>102</v>
      </c>
      <c r="B1" s="119" t="s">
        <v>103</v>
      </c>
      <c r="C1" s="366" t="str">
        <f>'Support Data'!A18</f>
        <v>Specifications</v>
      </c>
      <c r="D1" s="367" t="str">
        <f>'Support Data'!$A$19</f>
        <v>Contractor Work Area</v>
      </c>
      <c r="E1" s="367" t="str">
        <f>'Support Data'!A20</f>
        <v>Def ID</v>
      </c>
      <c r="F1" s="368" t="s">
        <v>78</v>
      </c>
      <c r="G1" s="367" t="str">
        <f>'Support Data'!A22</f>
        <v>Availability</v>
      </c>
      <c r="H1" s="397" t="str">
        <f>'Support Data'!A24</f>
        <v>Summary</v>
      </c>
      <c r="I1" s="397" t="str">
        <f>'Support Data'!A25</f>
        <v>Spec Weight</v>
      </c>
      <c r="J1" s="397" t="str">
        <f>'Support Data'!A26</f>
        <v>Avail Weight</v>
      </c>
      <c r="K1" s="397" t="str">
        <f>'Support Data'!A27</f>
        <v>Score</v>
      </c>
      <c r="L1" s="398" t="s">
        <v>104</v>
      </c>
    </row>
    <row r="2" spans="1:16" x14ac:dyDescent="0.25">
      <c r="A2" s="400" t="s">
        <v>589</v>
      </c>
      <c r="B2" s="401"/>
      <c r="C2" s="402"/>
      <c r="D2" s="403"/>
      <c r="E2" s="403"/>
      <c r="F2" s="403"/>
      <c r="G2" s="403"/>
      <c r="H2" s="231">
        <f>COUNTA(B3:B36)</f>
        <v>30</v>
      </c>
      <c r="K2" s="197">
        <f>SUM(K3:K36)</f>
        <v>0</v>
      </c>
    </row>
    <row r="3" spans="1:16" ht="27" customHeight="1" x14ac:dyDescent="0.25">
      <c r="A3" s="404" t="str">
        <f>IF(L3=1,"ECite-Im-"&amp;TEXT(COUNTIF($L$3:L3, "1"), "0"), "")</f>
        <v>ECite-Im-1</v>
      </c>
      <c r="B3" s="203" t="s">
        <v>43</v>
      </c>
      <c r="C3" s="405" t="s">
        <v>590</v>
      </c>
      <c r="D3" s="406"/>
      <c r="E3" s="219"/>
      <c r="F3" s="226">
        <v>1</v>
      </c>
      <c r="G3" s="296" t="s">
        <v>101</v>
      </c>
      <c r="H3" s="131">
        <f>COUNTIF(G:G,"=Select from Drop Down List")</f>
        <v>30</v>
      </c>
      <c r="I3" s="207">
        <f t="shared" ref="I3:I8" si="0">IF(NOT(ISBLANK($B3)),VLOOKUP($B3,specdata,2,FALSE()),"")</f>
        <v>1</v>
      </c>
      <c r="J3" s="207">
        <f t="shared" ref="J3:J8" si="1">VLOOKUP(G3,AvailabilityData,2,FALSE())</f>
        <v>0</v>
      </c>
      <c r="K3" s="207">
        <f t="shared" ref="K3:K8" si="2">I3*J3</f>
        <v>0</v>
      </c>
      <c r="L3" s="396">
        <v>1</v>
      </c>
      <c r="N3" s="858" t="s">
        <v>107</v>
      </c>
      <c r="O3" s="858"/>
      <c r="P3" s="858"/>
    </row>
    <row r="4" spans="1:16" ht="41.4" x14ac:dyDescent="0.25">
      <c r="A4" s="404" t="str">
        <f>IF(L4=1,"ECite-Im-"&amp;TEXT(COUNTIF($L$3:L4, "1"), "0"), "")</f>
        <v>ECite-Im-2</v>
      </c>
      <c r="B4" s="203" t="s">
        <v>43</v>
      </c>
      <c r="C4" s="407" t="s">
        <v>591</v>
      </c>
      <c r="D4" s="408"/>
      <c r="E4" s="219"/>
      <c r="F4" s="206">
        <v>1</v>
      </c>
      <c r="G4" s="299" t="s">
        <v>101</v>
      </c>
      <c r="H4" s="131">
        <f>COUNTIF(G:G,"=Function Available")</f>
        <v>0</v>
      </c>
      <c r="I4" s="207">
        <f t="shared" si="0"/>
        <v>1</v>
      </c>
      <c r="J4" s="207">
        <f t="shared" si="1"/>
        <v>0</v>
      </c>
      <c r="K4" s="207">
        <f t="shared" si="2"/>
        <v>0</v>
      </c>
      <c r="L4" s="396">
        <v>1</v>
      </c>
      <c r="N4" s="858"/>
      <c r="O4" s="858"/>
      <c r="P4" s="858"/>
    </row>
    <row r="5" spans="1:16" ht="41.4" x14ac:dyDescent="0.25">
      <c r="A5" s="404" t="str">
        <f>IF(L5=1,"ECite-Im-"&amp;TEXT(COUNTIF($L$3:L5, "1"), "0"), "")</f>
        <v>ECite-Im-3</v>
      </c>
      <c r="B5" s="203" t="s">
        <v>43</v>
      </c>
      <c r="C5" s="407" t="s">
        <v>592</v>
      </c>
      <c r="D5" s="408"/>
      <c r="E5" s="219"/>
      <c r="F5" s="206">
        <v>1</v>
      </c>
      <c r="G5" s="299" t="s">
        <v>101</v>
      </c>
      <c r="H5" s="131">
        <f>COUNTIF(F:G,"=Function Not Available")</f>
        <v>0</v>
      </c>
      <c r="I5" s="207">
        <f t="shared" si="0"/>
        <v>1</v>
      </c>
      <c r="J5" s="207">
        <f t="shared" si="1"/>
        <v>0</v>
      </c>
      <c r="K5" s="207">
        <f t="shared" si="2"/>
        <v>0</v>
      </c>
      <c r="L5" s="396">
        <v>1</v>
      </c>
      <c r="N5" s="858"/>
      <c r="O5" s="858"/>
      <c r="P5" s="858"/>
    </row>
    <row r="6" spans="1:16" ht="30" customHeight="1" x14ac:dyDescent="0.25">
      <c r="A6" s="404" t="str">
        <f>IF(L6=1,"ECite-Im-"&amp;TEXT(COUNTIF($L$3:L6, "1"), "0"), "")</f>
        <v>ECite-Im-4</v>
      </c>
      <c r="B6" s="203" t="s">
        <v>43</v>
      </c>
      <c r="C6" s="407" t="s">
        <v>593</v>
      </c>
      <c r="D6" s="408"/>
      <c r="E6" s="219"/>
      <c r="F6" s="206">
        <v>1</v>
      </c>
      <c r="G6" s="299" t="s">
        <v>101</v>
      </c>
      <c r="H6" s="131">
        <f>COUNTIF(G:G,"=Exception")</f>
        <v>0</v>
      </c>
      <c r="I6" s="207">
        <f t="shared" si="0"/>
        <v>1</v>
      </c>
      <c r="J6" s="207">
        <f t="shared" si="1"/>
        <v>0</v>
      </c>
      <c r="K6" s="207">
        <f t="shared" si="2"/>
        <v>0</v>
      </c>
      <c r="L6" s="396">
        <v>1</v>
      </c>
      <c r="N6" s="858"/>
      <c r="O6" s="858"/>
      <c r="P6" s="858"/>
    </row>
    <row r="7" spans="1:16" ht="30" customHeight="1" x14ac:dyDescent="0.25">
      <c r="A7" s="404" t="str">
        <f>IF(L7=1,"ECite-Im-"&amp;TEXT(COUNTIF($L$3:L7, "1"), "0"), "")</f>
        <v>ECite-Im-5</v>
      </c>
      <c r="B7" s="311" t="s">
        <v>43</v>
      </c>
      <c r="C7" s="407" t="s">
        <v>594</v>
      </c>
      <c r="D7" s="409"/>
      <c r="E7" s="229"/>
      <c r="F7" s="225">
        <v>1</v>
      </c>
      <c r="G7" s="299" t="s">
        <v>101</v>
      </c>
      <c r="H7" s="140">
        <f>COUNTIFS(B:B,"=Critical",G:G,"=Select from Drop Down List")</f>
        <v>0</v>
      </c>
      <c r="I7" s="207">
        <f t="shared" si="0"/>
        <v>1</v>
      </c>
      <c r="J7" s="207">
        <f t="shared" si="1"/>
        <v>0</v>
      </c>
      <c r="K7" s="207">
        <f t="shared" si="2"/>
        <v>0</v>
      </c>
      <c r="L7" s="396">
        <v>1</v>
      </c>
    </row>
    <row r="8" spans="1:16" ht="30" customHeight="1" x14ac:dyDescent="0.25">
      <c r="A8" s="404" t="str">
        <f>IF(L8=1,"ECite-Im-"&amp;TEXT(COUNTIF($L$3:L8, "1"), "0"), "")</f>
        <v>ECite-Im-6</v>
      </c>
      <c r="B8" s="290" t="s">
        <v>43</v>
      </c>
      <c r="C8" s="407" t="s">
        <v>595</v>
      </c>
      <c r="D8" s="409"/>
      <c r="E8" s="224"/>
      <c r="F8" s="293">
        <v>1</v>
      </c>
      <c r="G8" s="301" t="s">
        <v>101</v>
      </c>
      <c r="H8" s="140">
        <f>COUNTIFS(B:B,"=Critical",G:G,"=Function Available")</f>
        <v>0</v>
      </c>
      <c r="I8" s="207">
        <f t="shared" si="0"/>
        <v>1</v>
      </c>
      <c r="J8" s="207">
        <f t="shared" si="1"/>
        <v>0</v>
      </c>
      <c r="K8" s="207">
        <f t="shared" si="2"/>
        <v>0</v>
      </c>
      <c r="L8" s="396">
        <v>1</v>
      </c>
    </row>
    <row r="9" spans="1:16" ht="15.6" x14ac:dyDescent="0.25">
      <c r="A9" s="410"/>
      <c r="B9" s="211"/>
      <c r="C9" s="411" t="s">
        <v>596</v>
      </c>
      <c r="D9" s="412"/>
      <c r="E9" s="214"/>
      <c r="F9" s="413"/>
      <c r="G9" s="215"/>
      <c r="H9" s="140">
        <f>COUNTIFS(B:B,"=Critical",G:G,"=Function Not Available")</f>
        <v>0</v>
      </c>
      <c r="I9" s="207"/>
      <c r="J9" s="207"/>
      <c r="K9" s="207"/>
    </row>
    <row r="10" spans="1:16" ht="30" customHeight="1" x14ac:dyDescent="0.25">
      <c r="A10" s="404" t="str">
        <f>IF(L10=1,"ECite-Im-"&amp;TEXT(COUNTIF($L$3:L10, "1"), "0"), "")</f>
        <v>ECite-Im-7</v>
      </c>
      <c r="B10" s="203" t="s">
        <v>43</v>
      </c>
      <c r="C10" s="414" t="s">
        <v>597</v>
      </c>
      <c r="D10" s="406"/>
      <c r="E10" s="219"/>
      <c r="F10" s="296">
        <v>1</v>
      </c>
      <c r="G10" s="302" t="s">
        <v>101</v>
      </c>
      <c r="H10" s="140">
        <f>COUNTIFS(B:B,"=Critical",G:G,"=Exception")</f>
        <v>0</v>
      </c>
      <c r="I10" s="207">
        <f t="shared" ref="I10:I20" si="3">IF(NOT(ISBLANK($B10)),VLOOKUP($B10,specdata,2,FALSE()),"")</f>
        <v>1</v>
      </c>
      <c r="J10" s="207">
        <f t="shared" ref="J10:J20" si="4">VLOOKUP(G10,AvailabilityData,2,FALSE())</f>
        <v>0</v>
      </c>
      <c r="K10" s="207">
        <f t="shared" ref="K10:K20" si="5">I10*J10</f>
        <v>0</v>
      </c>
      <c r="L10" s="396">
        <v>1</v>
      </c>
    </row>
    <row r="11" spans="1:16" ht="30" customHeight="1" x14ac:dyDescent="0.25">
      <c r="A11" s="404" t="str">
        <f>IF(L11=1,"ECite-Im-"&amp;TEXT(COUNTIF($L$3:L11, "1"), "0"), "")</f>
        <v>ECite-Im-8</v>
      </c>
      <c r="B11" s="297" t="s">
        <v>43</v>
      </c>
      <c r="C11" s="415" t="s">
        <v>598</v>
      </c>
      <c r="D11" s="408"/>
      <c r="E11" s="205"/>
      <c r="F11" s="299">
        <v>1</v>
      </c>
      <c r="G11" s="303" t="s">
        <v>101</v>
      </c>
      <c r="H11" s="146">
        <f>COUNTIFS(B:B,"=Important",G:G,"=Select from Drop Down List")</f>
        <v>30</v>
      </c>
      <c r="I11" s="207">
        <f t="shared" si="3"/>
        <v>1</v>
      </c>
      <c r="J11" s="207">
        <f t="shared" si="4"/>
        <v>0</v>
      </c>
      <c r="K11" s="207">
        <f t="shared" si="5"/>
        <v>0</v>
      </c>
      <c r="L11" s="396">
        <v>1</v>
      </c>
    </row>
    <row r="12" spans="1:16" ht="30" customHeight="1" x14ac:dyDescent="0.25">
      <c r="A12" s="404" t="str">
        <f>IF(L12=1,"ECite-Im-"&amp;TEXT(COUNTIF($L$3:L12, "1"), "0"), "")</f>
        <v>ECite-Im-9</v>
      </c>
      <c r="B12" s="297" t="s">
        <v>43</v>
      </c>
      <c r="C12" s="416" t="s">
        <v>599</v>
      </c>
      <c r="D12" s="417"/>
      <c r="E12" s="205"/>
      <c r="F12" s="299">
        <v>1</v>
      </c>
      <c r="G12" s="303" t="s">
        <v>101</v>
      </c>
      <c r="H12" s="146">
        <f>COUNTIFS(B:B,"=Important",G:G,"=Function Available")</f>
        <v>0</v>
      </c>
      <c r="I12" s="207">
        <f t="shared" si="3"/>
        <v>1</v>
      </c>
      <c r="J12" s="207">
        <f t="shared" si="4"/>
        <v>0</v>
      </c>
      <c r="K12" s="207">
        <f t="shared" si="5"/>
        <v>0</v>
      </c>
      <c r="L12" s="396">
        <v>1</v>
      </c>
    </row>
    <row r="13" spans="1:16" ht="30" customHeight="1" x14ac:dyDescent="0.25">
      <c r="A13" s="404" t="str">
        <f>IF(L13=1,"ECite-Im-"&amp;TEXT(COUNTIF($L$3:L13, "1"), "0"), "")</f>
        <v>ECite-Im-10</v>
      </c>
      <c r="B13" s="297" t="s">
        <v>43</v>
      </c>
      <c r="C13" s="416" t="s">
        <v>600</v>
      </c>
      <c r="D13" s="417"/>
      <c r="E13" s="205"/>
      <c r="F13" s="299">
        <v>1</v>
      </c>
      <c r="G13" s="303" t="s">
        <v>101</v>
      </c>
      <c r="H13" s="146">
        <f>COUNTIFS(B:B,"=Important",G:G,"=Function Not Available")</f>
        <v>0</v>
      </c>
      <c r="I13" s="207">
        <f t="shared" si="3"/>
        <v>1</v>
      </c>
      <c r="J13" s="207">
        <f t="shared" si="4"/>
        <v>0</v>
      </c>
      <c r="K13" s="207">
        <f t="shared" si="5"/>
        <v>0</v>
      </c>
      <c r="L13" s="396">
        <v>1</v>
      </c>
    </row>
    <row r="14" spans="1:16" ht="30" customHeight="1" x14ac:dyDescent="0.25">
      <c r="A14" s="404" t="str">
        <f>IF(L14=1,"ECite-Im-"&amp;TEXT(COUNTIF($L$3:L14, "1"), "0"), "")</f>
        <v>ECite-Im-11</v>
      </c>
      <c r="B14" s="203" t="s">
        <v>43</v>
      </c>
      <c r="C14" s="418" t="s">
        <v>601</v>
      </c>
      <c r="D14" s="419"/>
      <c r="E14" s="219"/>
      <c r="F14" s="226">
        <v>1</v>
      </c>
      <c r="G14" s="299" t="s">
        <v>101</v>
      </c>
      <c r="H14" s="146">
        <f>COUNTIFS(B:B,"=Important",G:G,"=Exception")</f>
        <v>0</v>
      </c>
      <c r="I14" s="207">
        <f t="shared" si="3"/>
        <v>1</v>
      </c>
      <c r="J14" s="207">
        <f t="shared" si="4"/>
        <v>0</v>
      </c>
      <c r="K14" s="207">
        <f t="shared" si="5"/>
        <v>0</v>
      </c>
      <c r="L14" s="396">
        <v>1</v>
      </c>
    </row>
    <row r="15" spans="1:16" ht="30" customHeight="1" x14ac:dyDescent="0.25">
      <c r="A15" s="404" t="str">
        <f>IF(L15=1,"ECite-Im-"&amp;TEXT(COUNTIF($L$3:L15, "1"), "0"), "")</f>
        <v>ECite-Im-12</v>
      </c>
      <c r="B15" s="203" t="s">
        <v>43</v>
      </c>
      <c r="C15" s="420" t="s">
        <v>602</v>
      </c>
      <c r="D15" s="417"/>
      <c r="E15" s="219"/>
      <c r="F15" s="206">
        <v>1</v>
      </c>
      <c r="G15" s="299" t="s">
        <v>101</v>
      </c>
      <c r="H15" s="147">
        <f>COUNTIFS(B:B,"=Informational",G:G,"=Select from Drop Down List")</f>
        <v>0</v>
      </c>
      <c r="I15" s="207">
        <f t="shared" si="3"/>
        <v>1</v>
      </c>
      <c r="J15" s="207">
        <f t="shared" si="4"/>
        <v>0</v>
      </c>
      <c r="K15" s="207">
        <f t="shared" si="5"/>
        <v>0</v>
      </c>
      <c r="L15" s="396">
        <v>1</v>
      </c>
    </row>
    <row r="16" spans="1:16" ht="30" customHeight="1" x14ac:dyDescent="0.25">
      <c r="A16" s="404" t="str">
        <f>IF(L16=1,"ECite-Im-"&amp;TEXT(COUNTIF($L$3:L16, "1"), "0"), "")</f>
        <v>ECite-Im-13</v>
      </c>
      <c r="B16" s="203" t="s">
        <v>43</v>
      </c>
      <c r="C16" s="421" t="s">
        <v>603</v>
      </c>
      <c r="D16" s="422"/>
      <c r="E16" s="219"/>
      <c r="F16" s="206">
        <v>1</v>
      </c>
      <c r="G16" s="299" t="s">
        <v>101</v>
      </c>
      <c r="H16" s="147">
        <f>COUNTIFS(B:B,"=Informational",G:G,"=Function Available")</f>
        <v>0</v>
      </c>
      <c r="I16" s="207">
        <f t="shared" si="3"/>
        <v>1</v>
      </c>
      <c r="J16" s="207">
        <f t="shared" si="4"/>
        <v>0</v>
      </c>
      <c r="K16" s="207">
        <f t="shared" si="5"/>
        <v>0</v>
      </c>
      <c r="L16" s="396">
        <v>1</v>
      </c>
    </row>
    <row r="17" spans="1:12" ht="41.4" x14ac:dyDescent="0.25">
      <c r="A17" s="404" t="str">
        <f>IF(L17=1,"ECite-Im-"&amp;TEXT(COUNTIF($L$3:L17, "1"), "0"), "")</f>
        <v>ECite-Im-14</v>
      </c>
      <c r="B17" s="203" t="s">
        <v>43</v>
      </c>
      <c r="C17" s="421" t="s">
        <v>604</v>
      </c>
      <c r="D17" s="422"/>
      <c r="E17" s="219"/>
      <c r="F17" s="206">
        <v>1</v>
      </c>
      <c r="G17" s="299" t="s">
        <v>101</v>
      </c>
      <c r="H17" s="147">
        <f>COUNTIFS(B:B,"=Informational",G:G,"=Function Not Available")</f>
        <v>0</v>
      </c>
      <c r="I17" s="207">
        <f t="shared" si="3"/>
        <v>1</v>
      </c>
      <c r="J17" s="207">
        <f t="shared" si="4"/>
        <v>0</v>
      </c>
      <c r="K17" s="207">
        <f t="shared" si="5"/>
        <v>0</v>
      </c>
      <c r="L17" s="396">
        <v>1</v>
      </c>
    </row>
    <row r="18" spans="1:12" ht="27.6" x14ac:dyDescent="0.25">
      <c r="A18" s="404" t="str">
        <f>IF(L18=1,"ECite-Im-"&amp;TEXT(COUNTIF($L$3:L18, "1"), "0"), "")</f>
        <v>ECite-Im-15</v>
      </c>
      <c r="B18" s="203" t="s">
        <v>43</v>
      </c>
      <c r="C18" s="421" t="s">
        <v>605</v>
      </c>
      <c r="D18" s="422"/>
      <c r="E18" s="219"/>
      <c r="F18" s="206">
        <v>1</v>
      </c>
      <c r="G18" s="299" t="s">
        <v>101</v>
      </c>
      <c r="H18" s="147">
        <f>COUNTIFS(B:B,"=Informational",G:G,"=Exception")</f>
        <v>0</v>
      </c>
      <c r="I18" s="207">
        <f t="shared" si="3"/>
        <v>1</v>
      </c>
      <c r="J18" s="207">
        <f t="shared" si="4"/>
        <v>0</v>
      </c>
      <c r="K18" s="207">
        <f t="shared" si="5"/>
        <v>0</v>
      </c>
      <c r="L18" s="396">
        <v>1</v>
      </c>
    </row>
    <row r="19" spans="1:12" ht="30" customHeight="1" x14ac:dyDescent="0.25">
      <c r="A19" s="404" t="str">
        <f>IF(L19=1,"ECite-Im-"&amp;TEXT(COUNTIF($L$3:L19, "1"), "0"), "")</f>
        <v>ECite-Im-16</v>
      </c>
      <c r="B19" s="203" t="s">
        <v>43</v>
      </c>
      <c r="C19" s="421" t="s">
        <v>606</v>
      </c>
      <c r="D19" s="422"/>
      <c r="E19" s="219"/>
      <c r="F19" s="206">
        <v>1</v>
      </c>
      <c r="G19" s="299" t="s">
        <v>101</v>
      </c>
      <c r="H19" s="423"/>
      <c r="I19" s="207">
        <f t="shared" si="3"/>
        <v>1</v>
      </c>
      <c r="J19" s="207">
        <f t="shared" si="4"/>
        <v>0</v>
      </c>
      <c r="K19" s="207">
        <f t="shared" si="5"/>
        <v>0</v>
      </c>
      <c r="L19" s="396">
        <v>1</v>
      </c>
    </row>
    <row r="20" spans="1:12" ht="30" customHeight="1" x14ac:dyDescent="0.25">
      <c r="A20" s="404" t="str">
        <f>IF(L20=1,"ECite-Im-"&amp;TEXT(COUNTIF($L$3:L20, "1"), "0"), "")</f>
        <v>ECite-Im-17</v>
      </c>
      <c r="B20" s="311" t="s">
        <v>43</v>
      </c>
      <c r="C20" s="407" t="s">
        <v>607</v>
      </c>
      <c r="D20" s="424"/>
      <c r="E20" s="229"/>
      <c r="F20" s="225">
        <v>1</v>
      </c>
      <c r="G20" s="293" t="s">
        <v>101</v>
      </c>
      <c r="H20" s="423"/>
      <c r="I20" s="207">
        <f t="shared" si="3"/>
        <v>1</v>
      </c>
      <c r="J20" s="207">
        <f t="shared" si="4"/>
        <v>0</v>
      </c>
      <c r="K20" s="207">
        <f t="shared" si="5"/>
        <v>0</v>
      </c>
      <c r="L20" s="396">
        <v>1</v>
      </c>
    </row>
    <row r="21" spans="1:12" x14ac:dyDescent="0.25">
      <c r="A21" s="410"/>
      <c r="B21" s="211"/>
      <c r="C21" s="425" t="s">
        <v>168</v>
      </c>
      <c r="D21" s="412"/>
      <c r="E21" s="214"/>
      <c r="F21" s="413"/>
      <c r="G21" s="215"/>
      <c r="H21" s="423"/>
      <c r="I21" s="207"/>
      <c r="J21" s="207"/>
      <c r="K21" s="207"/>
    </row>
    <row r="22" spans="1:12" ht="30" customHeight="1" x14ac:dyDescent="0.25">
      <c r="A22" s="404" t="str">
        <f>IF(L22=1,"ECite-Im-"&amp;TEXT(COUNTIF($L$3:L22, "1"), "0"), "")</f>
        <v>ECite-Im-18</v>
      </c>
      <c r="B22" s="203" t="s">
        <v>43</v>
      </c>
      <c r="C22" s="426" t="s">
        <v>185</v>
      </c>
      <c r="D22" s="406"/>
      <c r="E22" s="219"/>
      <c r="F22" s="226">
        <v>1</v>
      </c>
      <c r="G22" s="296" t="s">
        <v>101</v>
      </c>
      <c r="I22" s="207">
        <f t="shared" ref="I22:I28" si="6">IF(NOT(ISBLANK($B22)),VLOOKUP($B22,specdata,2,FALSE()),"")</f>
        <v>1</v>
      </c>
      <c r="J22" s="207">
        <f t="shared" ref="J22:J28" si="7">VLOOKUP(G22,AvailabilityData,2,FALSE())</f>
        <v>0</v>
      </c>
      <c r="K22" s="207">
        <f t="shared" ref="K22:K28" si="8">I22*J22</f>
        <v>0</v>
      </c>
      <c r="L22" s="396">
        <v>1</v>
      </c>
    </row>
    <row r="23" spans="1:12" ht="30" customHeight="1" x14ac:dyDescent="0.25">
      <c r="A23" s="404" t="str">
        <f>IF(L23=1,"ECite-Im-"&amp;TEXT(COUNTIF($L$3:L23, "1"), "0"), "")</f>
        <v>ECite-Im-19</v>
      </c>
      <c r="B23" s="203" t="s">
        <v>43</v>
      </c>
      <c r="C23" s="221" t="s">
        <v>170</v>
      </c>
      <c r="D23" s="298"/>
      <c r="E23" s="219"/>
      <c r="F23" s="206">
        <v>1</v>
      </c>
      <c r="G23" s="299" t="s">
        <v>101</v>
      </c>
      <c r="H23" s="423"/>
      <c r="I23" s="207">
        <f t="shared" si="6"/>
        <v>1</v>
      </c>
      <c r="J23" s="207">
        <f t="shared" si="7"/>
        <v>0</v>
      </c>
      <c r="K23" s="207">
        <f t="shared" si="8"/>
        <v>0</v>
      </c>
      <c r="L23" s="396">
        <v>1</v>
      </c>
    </row>
    <row r="24" spans="1:12" ht="30" customHeight="1" x14ac:dyDescent="0.25">
      <c r="A24" s="404" t="str">
        <f>IF(L24=1,"ECite-Im-"&amp;TEXT(COUNTIF($L$3:L24, "1"), "0"), "")</f>
        <v>ECite-Im-20</v>
      </c>
      <c r="B24" s="203" t="s">
        <v>43</v>
      </c>
      <c r="C24" s="221" t="s">
        <v>171</v>
      </c>
      <c r="D24" s="298"/>
      <c r="E24" s="219"/>
      <c r="F24" s="206">
        <v>1</v>
      </c>
      <c r="G24" s="299" t="s">
        <v>101</v>
      </c>
      <c r="H24" s="423"/>
      <c r="I24" s="207">
        <f t="shared" si="6"/>
        <v>1</v>
      </c>
      <c r="J24" s="207">
        <f t="shared" si="7"/>
        <v>0</v>
      </c>
      <c r="K24" s="207">
        <f t="shared" si="8"/>
        <v>0</v>
      </c>
      <c r="L24" s="396">
        <v>1</v>
      </c>
    </row>
    <row r="25" spans="1:12" ht="30" customHeight="1" x14ac:dyDescent="0.25">
      <c r="A25" s="404" t="str">
        <f>IF(L25=1,"ECite-Im-"&amp;TEXT(COUNTIF($L$3:L25, "1"), "0"), "")</f>
        <v>ECite-Im-21</v>
      </c>
      <c r="B25" s="203" t="s">
        <v>43</v>
      </c>
      <c r="C25" s="427" t="s">
        <v>172</v>
      </c>
      <c r="D25" s="408"/>
      <c r="E25" s="219"/>
      <c r="F25" s="206">
        <v>1</v>
      </c>
      <c r="G25" s="299" t="s">
        <v>101</v>
      </c>
      <c r="H25" s="423"/>
      <c r="I25" s="207">
        <f t="shared" si="6"/>
        <v>1</v>
      </c>
      <c r="J25" s="207">
        <f t="shared" si="7"/>
        <v>0</v>
      </c>
      <c r="K25" s="207">
        <f t="shared" si="8"/>
        <v>0</v>
      </c>
      <c r="L25" s="396">
        <v>1</v>
      </c>
    </row>
    <row r="26" spans="1:12" ht="30" customHeight="1" x14ac:dyDescent="0.25">
      <c r="A26" s="404" t="str">
        <f>IF(L26=1,"ECite-Im-"&amp;TEXT(COUNTIF($L$3:L26, "1"), "0"), "")</f>
        <v>ECite-Im-22</v>
      </c>
      <c r="B26" s="203" t="s">
        <v>43</v>
      </c>
      <c r="C26" s="407" t="s">
        <v>255</v>
      </c>
      <c r="D26" s="408"/>
      <c r="E26" s="219"/>
      <c r="F26" s="206">
        <v>1</v>
      </c>
      <c r="G26" s="299" t="s">
        <v>101</v>
      </c>
      <c r="H26" s="423"/>
      <c r="I26" s="207">
        <f t="shared" si="6"/>
        <v>1</v>
      </c>
      <c r="J26" s="207">
        <f t="shared" si="7"/>
        <v>0</v>
      </c>
      <c r="K26" s="207">
        <f t="shared" si="8"/>
        <v>0</v>
      </c>
      <c r="L26" s="396">
        <v>1</v>
      </c>
    </row>
    <row r="27" spans="1:12" ht="27.6" x14ac:dyDescent="0.25">
      <c r="A27" s="404" t="str">
        <f>IF(L27=1,"ECite-Im-"&amp;TEXT(COUNTIF($L$3:L27, "1"), "0"), "")</f>
        <v>ECite-Im-23</v>
      </c>
      <c r="B27" s="203" t="s">
        <v>43</v>
      </c>
      <c r="C27" s="421" t="s">
        <v>608</v>
      </c>
      <c r="D27" s="408"/>
      <c r="E27" s="205"/>
      <c r="F27" s="299">
        <v>1</v>
      </c>
      <c r="G27" s="299" t="s">
        <v>101</v>
      </c>
      <c r="H27" s="423"/>
      <c r="I27" s="207">
        <f t="shared" si="6"/>
        <v>1</v>
      </c>
      <c r="J27" s="207">
        <f t="shared" si="7"/>
        <v>0</v>
      </c>
      <c r="K27" s="207">
        <f t="shared" si="8"/>
        <v>0</v>
      </c>
      <c r="L27" s="396">
        <v>1</v>
      </c>
    </row>
    <row r="28" spans="1:12" x14ac:dyDescent="0.25">
      <c r="A28" s="404" t="str">
        <f>IF(L28=1,"ECite-Im-"&amp;TEXT(COUNTIF($L$3:L28, "1"), "0"), "")</f>
        <v>ECite-Im-24</v>
      </c>
      <c r="B28" s="290" t="s">
        <v>43</v>
      </c>
      <c r="C28" s="407" t="s">
        <v>207</v>
      </c>
      <c r="D28" s="428"/>
      <c r="E28" s="224"/>
      <c r="F28" s="293">
        <v>1</v>
      </c>
      <c r="G28" s="293" t="s">
        <v>101</v>
      </c>
      <c r="H28" s="423"/>
      <c r="I28" s="207">
        <f t="shared" si="6"/>
        <v>1</v>
      </c>
      <c r="J28" s="207">
        <f t="shared" si="7"/>
        <v>0</v>
      </c>
      <c r="K28" s="207">
        <f t="shared" si="8"/>
        <v>0</v>
      </c>
      <c r="L28" s="396">
        <v>1</v>
      </c>
    </row>
    <row r="29" spans="1:12" x14ac:dyDescent="0.25">
      <c r="A29" s="211" t="str">
        <f>IF(L29=1,"ECite-Im-"&amp;TEXT(COUNTIF($L$3:L29, "1"), "0"), "")</f>
        <v/>
      </c>
      <c r="B29" s="211"/>
      <c r="C29" s="425" t="s">
        <v>165</v>
      </c>
      <c r="D29" s="429"/>
      <c r="E29" s="214"/>
      <c r="F29" s="413"/>
      <c r="G29" s="215"/>
      <c r="H29" s="423"/>
      <c r="I29" s="207"/>
      <c r="J29" s="207"/>
      <c r="K29" s="207"/>
    </row>
    <row r="30" spans="1:12" ht="27.6" x14ac:dyDescent="0.25">
      <c r="A30" s="404" t="str">
        <f>IF(L30=1,"ECite-Im-"&amp;TEXT(COUNTIF($L$3:L30, "1"), "0"), "")</f>
        <v>ECite-Im-25</v>
      </c>
      <c r="B30" s="203" t="s">
        <v>43</v>
      </c>
      <c r="C30" s="426" t="s">
        <v>208</v>
      </c>
      <c r="D30" s="430"/>
      <c r="E30" s="219"/>
      <c r="F30" s="296">
        <v>1</v>
      </c>
      <c r="G30" s="296" t="s">
        <v>101</v>
      </c>
      <c r="I30" s="207">
        <f>IF(NOT(ISBLANK($B30)),VLOOKUP($B30,specdata,2,FALSE()),"")</f>
        <v>1</v>
      </c>
      <c r="J30" s="207">
        <f>VLOOKUP(G30,AvailabilityData,2,FALSE())</f>
        <v>0</v>
      </c>
      <c r="K30" s="207">
        <f>I30*J30</f>
        <v>0</v>
      </c>
      <c r="L30" s="396">
        <v>1</v>
      </c>
    </row>
    <row r="31" spans="1:12" ht="27.6" x14ac:dyDescent="0.25">
      <c r="A31" s="404" t="str">
        <f>IF(L31=1,"ECite-Im-"&amp;TEXT(COUNTIF($L$3:L31, "1"), "0"), "")</f>
        <v>ECite-Im-26</v>
      </c>
      <c r="B31" s="290" t="s">
        <v>43</v>
      </c>
      <c r="C31" s="407" t="s">
        <v>609</v>
      </c>
      <c r="D31" s="428"/>
      <c r="E31" s="224"/>
      <c r="F31" s="293">
        <v>1</v>
      </c>
      <c r="G31" s="293" t="s">
        <v>101</v>
      </c>
      <c r="H31" s="423"/>
      <c r="I31" s="207">
        <f>IF(NOT(ISBLANK($B31)),VLOOKUP($B31,specdata,2,FALSE()),"")</f>
        <v>1</v>
      </c>
      <c r="J31" s="207">
        <f>VLOOKUP(G31,AvailabilityData,2,FALSE())</f>
        <v>0</v>
      </c>
      <c r="K31" s="207">
        <f>I31*J31</f>
        <v>0</v>
      </c>
      <c r="L31" s="396">
        <v>1</v>
      </c>
    </row>
    <row r="32" spans="1:12" x14ac:dyDescent="0.25">
      <c r="A32" s="410"/>
      <c r="B32" s="211"/>
      <c r="C32" s="425" t="s">
        <v>174</v>
      </c>
      <c r="D32" s="429"/>
      <c r="E32" s="214"/>
      <c r="F32" s="413"/>
      <c r="G32" s="215"/>
      <c r="H32" s="423"/>
      <c r="I32" s="207"/>
      <c r="J32" s="207"/>
      <c r="K32" s="207"/>
    </row>
    <row r="33" spans="1:12" ht="27.6" x14ac:dyDescent="0.25">
      <c r="A33" s="404" t="str">
        <f>IF(L33=1,"ECite-Im-"&amp;TEXT(COUNTIF($L$3:L33, "1"), "0"), "")</f>
        <v>ECite-Im-27</v>
      </c>
      <c r="B33" s="203" t="s">
        <v>43</v>
      </c>
      <c r="C33" s="426" t="s">
        <v>610</v>
      </c>
      <c r="D33" s="430"/>
      <c r="E33" s="219"/>
      <c r="F33" s="296">
        <v>1</v>
      </c>
      <c r="G33" s="296" t="s">
        <v>101</v>
      </c>
      <c r="I33" s="207">
        <f>IF(NOT(ISBLANK($B33)),VLOOKUP($B33,specdata,2,FALSE()),"")</f>
        <v>1</v>
      </c>
      <c r="J33" s="207">
        <f>VLOOKUP(G33,AvailabilityData,2,FALSE())</f>
        <v>0</v>
      </c>
      <c r="K33" s="207">
        <f>I33*J33</f>
        <v>0</v>
      </c>
      <c r="L33" s="396">
        <v>1</v>
      </c>
    </row>
    <row r="34" spans="1:12" ht="27.6" x14ac:dyDescent="0.25">
      <c r="A34" s="404" t="str">
        <f>IF(L34=1,"ECite-Im-"&amp;TEXT(COUNTIF($L$3:L34, "1"), "0"), "")</f>
        <v>ECite-Im-28</v>
      </c>
      <c r="B34" s="297" t="s">
        <v>43</v>
      </c>
      <c r="C34" s="421" t="s">
        <v>611</v>
      </c>
      <c r="D34" s="431"/>
      <c r="E34" s="205"/>
      <c r="F34" s="299">
        <v>1</v>
      </c>
      <c r="G34" s="299" t="s">
        <v>101</v>
      </c>
      <c r="H34" s="423"/>
      <c r="I34" s="207">
        <f>IF(NOT(ISBLANK($B34)),VLOOKUP($B34,specdata,2,FALSE()),"")</f>
        <v>1</v>
      </c>
      <c r="J34" s="207">
        <f>VLOOKUP(G34,AvailabilityData,2,FALSE())</f>
        <v>0</v>
      </c>
      <c r="K34" s="207">
        <f>I34*J34</f>
        <v>0</v>
      </c>
      <c r="L34" s="396">
        <v>1</v>
      </c>
    </row>
    <row r="35" spans="1:12" ht="41.4" x14ac:dyDescent="0.25">
      <c r="A35" s="404" t="str">
        <f>IF(L35=1,"ECite-Im-"&amp;TEXT(COUNTIF($L$3:L35, "1"), "0"), "")</f>
        <v>ECite-Im-29</v>
      </c>
      <c r="B35" s="297" t="s">
        <v>43</v>
      </c>
      <c r="C35" s="421" t="s">
        <v>193</v>
      </c>
      <c r="D35" s="431"/>
      <c r="E35" s="205"/>
      <c r="F35" s="299">
        <v>1</v>
      </c>
      <c r="G35" s="299" t="s">
        <v>101</v>
      </c>
      <c r="H35" s="423"/>
      <c r="I35" s="207">
        <f>IF(NOT(ISBLANK($B35)),VLOOKUP($B35,specdata,2,FALSE()),"")</f>
        <v>1</v>
      </c>
      <c r="J35" s="207">
        <f>VLOOKUP(G35,AvailabilityData,2,FALSE())</f>
        <v>0</v>
      </c>
      <c r="K35" s="207">
        <f>I35*J35</f>
        <v>0</v>
      </c>
      <c r="L35" s="396">
        <v>1</v>
      </c>
    </row>
    <row r="36" spans="1:12" ht="27.6" x14ac:dyDescent="0.25">
      <c r="A36" s="404" t="str">
        <f>IF(L36=1,"ECite-Im-"&amp;TEXT(COUNTIF($L$3:L36, "1"), "0"), "")</f>
        <v>ECite-Im-30</v>
      </c>
      <c r="B36" s="297" t="s">
        <v>43</v>
      </c>
      <c r="C36" s="421" t="s">
        <v>612</v>
      </c>
      <c r="D36" s="431"/>
      <c r="E36" s="205"/>
      <c r="F36" s="299">
        <v>1</v>
      </c>
      <c r="G36" s="299" t="s">
        <v>101</v>
      </c>
      <c r="H36" s="423"/>
      <c r="I36" s="207">
        <f>IF(NOT(ISBLANK($B36)),VLOOKUP($B36,specdata,2,FALSE()),"")</f>
        <v>1</v>
      </c>
      <c r="J36" s="207">
        <f>VLOOKUP(G36,AvailabilityData,2,FALSE())</f>
        <v>0</v>
      </c>
      <c r="K36" s="207">
        <f>I36*J36</f>
        <v>0</v>
      </c>
      <c r="L36" s="396">
        <v>1</v>
      </c>
    </row>
    <row r="37" spans="1:12" x14ac:dyDescent="0.25">
      <c r="H37" s="423"/>
    </row>
  </sheetData>
  <mergeCells count="1">
    <mergeCell ref="N3:P6"/>
  </mergeCells>
  <conditionalFormatting sqref="A29">
    <cfRule type="cellIs" dxfId="217" priority="2" operator="equal">
      <formula>"Informational"</formula>
    </cfRule>
    <cfRule type="cellIs" dxfId="216" priority="3" operator="equal">
      <formula>"Not Needed"</formula>
    </cfRule>
    <cfRule type="cellIs" dxfId="215" priority="4" operator="equal">
      <formula>"Critical"</formula>
    </cfRule>
    <cfRule type="cellIs" dxfId="214" priority="5" operator="equal">
      <formula>"Extremely Advantageous"</formula>
    </cfRule>
  </conditionalFormatting>
  <conditionalFormatting sqref="B1:B1048576">
    <cfRule type="cellIs" dxfId="213" priority="6" operator="equal">
      <formula>"Informational"</formula>
    </cfRule>
    <cfRule type="cellIs" dxfId="212" priority="7" operator="equal">
      <formula>"Not Needed"</formula>
    </cfRule>
    <cfRule type="cellIs" dxfId="211" priority="8" operator="equal">
      <formula>"Critical"</formula>
    </cfRule>
    <cfRule type="cellIs" dxfId="210" priority="9" operator="equal">
      <formula>"Extremely Advantageous"</formula>
    </cfRule>
  </conditionalFormatting>
  <conditionalFormatting sqref="G1:G1048576">
    <cfRule type="cellIs" dxfId="209" priority="10" operator="equal">
      <formula>"Exception"</formula>
    </cfRule>
  </conditionalFormatting>
  <conditionalFormatting sqref="G3:G36">
    <cfRule type="cellIs" dxfId="208" priority="11" operator="equal">
      <formula>"Select from Drop Down List"</formula>
    </cfRule>
  </conditionalFormatting>
  <dataValidations count="2">
    <dataValidation type="list" allowBlank="1" showInputMessage="1" showErrorMessage="1" sqref="B3:B27" xr:uid="{00000000-0002-0000-1700-000000000000}">
      <formula1>SpecType</formula1>
      <formula2>0</formula2>
    </dataValidation>
    <dataValidation type="list" allowBlank="1" showInputMessage="1" showErrorMessage="1" sqref="G3:G36" xr:uid="{00000000-0002-0000-1700-000001000000}">
      <formula1>Availability</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June 2024 ©&amp;R&amp;"Arial,Bold"&amp;10&amp;P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pageSetUpPr fitToPage="1"/>
  </sheetPr>
  <dimension ref="A1:Q168"/>
  <sheetViews>
    <sheetView zoomScaleNormal="100" workbookViewId="0">
      <selection activeCell="O3" sqref="O3:Q6"/>
    </sheetView>
  </sheetViews>
  <sheetFormatPr defaultColWidth="9" defaultRowHeight="13.8" x14ac:dyDescent="0.25"/>
  <cols>
    <col min="1" max="1" width="10.59765625" style="195" customWidth="1"/>
    <col min="2" max="2" width="14.59765625" style="195" customWidth="1"/>
    <col min="3" max="3" width="65.59765625" style="196" customWidth="1"/>
    <col min="4" max="4" width="65.59765625" style="197" customWidth="1"/>
    <col min="5" max="5" width="10.59765625" style="197" hidden="1" customWidth="1"/>
    <col min="6" max="6" width="6.59765625" style="197" hidden="1" customWidth="1"/>
    <col min="7" max="7" width="30.59765625" style="197" customWidth="1"/>
    <col min="8" max="11" width="8.59765625" style="329" hidden="1" customWidth="1"/>
    <col min="12" max="12" width="0" style="197" hidden="1" customWidth="1"/>
    <col min="13" max="16384" width="9" style="197"/>
  </cols>
  <sheetData>
    <row r="1" spans="1:17" s="432" customFormat="1" ht="105" customHeight="1" x14ac:dyDescent="0.25">
      <c r="A1" s="158" t="s">
        <v>102</v>
      </c>
      <c r="B1" s="158" t="s">
        <v>103</v>
      </c>
      <c r="C1" s="158" t="str">
        <f>'Support Data'!A18</f>
        <v>Specifications</v>
      </c>
      <c r="D1" s="159" t="str">
        <f>'Support Data'!$A$19</f>
        <v>Contractor Work Area</v>
      </c>
      <c r="E1" s="159" t="str">
        <f>'Support Data'!A20</f>
        <v>Def ID</v>
      </c>
      <c r="F1" s="160" t="s">
        <v>78</v>
      </c>
      <c r="G1" s="159" t="str">
        <f>'Support Data'!A22</f>
        <v>Availability</v>
      </c>
      <c r="H1" s="398" t="str">
        <f>'Support Data'!A24</f>
        <v>Summary</v>
      </c>
      <c r="I1" s="398" t="str">
        <f>'Support Data'!A25</f>
        <v>Spec Weight</v>
      </c>
      <c r="J1" s="398" t="str">
        <f>'Support Data'!A26</f>
        <v>Avail Weight</v>
      </c>
      <c r="K1" s="398" t="str">
        <f>'Support Data'!A27</f>
        <v>Score</v>
      </c>
      <c r="L1" s="398" t="s">
        <v>104</v>
      </c>
      <c r="M1" s="843"/>
    </row>
    <row r="2" spans="1:17" x14ac:dyDescent="0.25">
      <c r="A2" s="433" t="s">
        <v>613</v>
      </c>
      <c r="B2" s="288"/>
      <c r="C2" s="199"/>
      <c r="D2" s="200"/>
      <c r="E2" s="201"/>
      <c r="F2" s="201"/>
      <c r="G2" s="434"/>
      <c r="H2" s="329">
        <f>COUNTA(B3:B30)</f>
        <v>25</v>
      </c>
      <c r="K2" s="329">
        <f>SUM(K3:K29)</f>
        <v>0</v>
      </c>
    </row>
    <row r="3" spans="1:17" ht="30" customHeight="1" x14ac:dyDescent="0.25">
      <c r="A3" s="202" t="str">
        <f>IF(L3=1,"EMD-"&amp;TEXT(COUNTIF($L$3:L3, "1"), "0"), "")</f>
        <v>EMD-1</v>
      </c>
      <c r="B3" s="435" t="s">
        <v>43</v>
      </c>
      <c r="C3" s="208" t="s">
        <v>614</v>
      </c>
      <c r="D3" s="228"/>
      <c r="E3" s="229"/>
      <c r="F3" s="436">
        <v>1</v>
      </c>
      <c r="G3" s="341" t="s">
        <v>101</v>
      </c>
      <c r="H3" s="131">
        <f>COUNTIF(G:G,"=Select from Drop Down List")</f>
        <v>25</v>
      </c>
      <c r="I3" s="329">
        <f t="shared" ref="I3:I10" si="0">IF(NOT(ISBLANK($B3)),VLOOKUP($B3,specdata,2,FALSE()),"")</f>
        <v>1</v>
      </c>
      <c r="J3" s="329">
        <f t="shared" ref="J3:J10" si="1">VLOOKUP(G3,AvailabilityData,2,FALSE())</f>
        <v>0</v>
      </c>
      <c r="K3" s="329">
        <f t="shared" ref="K3:K10" si="2">I3*J3</f>
        <v>0</v>
      </c>
      <c r="L3" s="197">
        <v>1</v>
      </c>
      <c r="O3" s="857"/>
      <c r="P3" s="857"/>
      <c r="Q3" s="857"/>
    </row>
    <row r="4" spans="1:17" ht="30" customHeight="1" x14ac:dyDescent="0.25">
      <c r="A4" s="202" t="str">
        <f>IF(L4=1,"EMD-"&amp;TEXT(COUNTIF($L$3:L4, "1"), "0"), "")</f>
        <v>EMD-2</v>
      </c>
      <c r="B4" s="435" t="s">
        <v>43</v>
      </c>
      <c r="C4" s="208" t="s">
        <v>615</v>
      </c>
      <c r="D4" s="298"/>
      <c r="E4" s="205"/>
      <c r="F4" s="299">
        <v>1</v>
      </c>
      <c r="G4" s="303" t="s">
        <v>101</v>
      </c>
      <c r="H4" s="131">
        <f>COUNTIF(G:G,"=Function Available")</f>
        <v>0</v>
      </c>
      <c r="I4" s="329">
        <f t="shared" si="0"/>
        <v>1</v>
      </c>
      <c r="J4" s="329">
        <f t="shared" si="1"/>
        <v>0</v>
      </c>
      <c r="K4" s="329">
        <f t="shared" si="2"/>
        <v>0</v>
      </c>
      <c r="L4" s="197">
        <v>1</v>
      </c>
      <c r="O4" s="857"/>
      <c r="P4" s="857"/>
      <c r="Q4" s="857"/>
    </row>
    <row r="5" spans="1:17" ht="30" customHeight="1" x14ac:dyDescent="0.25">
      <c r="A5" s="202" t="str">
        <f>IF(L5=1,"EMD-"&amp;TEXT(COUNTIF($L$3:L5, "1"), "0"), "")</f>
        <v>EMD-3</v>
      </c>
      <c r="B5" s="435" t="s">
        <v>43</v>
      </c>
      <c r="C5" s="208" t="s">
        <v>616</v>
      </c>
      <c r="D5" s="298"/>
      <c r="E5" s="205"/>
      <c r="F5" s="299">
        <v>1</v>
      </c>
      <c r="G5" s="303" t="s">
        <v>101</v>
      </c>
      <c r="H5" s="131">
        <f>COUNTIF(F:G,"=Function Not Available")</f>
        <v>0</v>
      </c>
      <c r="I5" s="329">
        <f t="shared" si="0"/>
        <v>1</v>
      </c>
      <c r="J5" s="329">
        <f t="shared" si="1"/>
        <v>0</v>
      </c>
      <c r="K5" s="329">
        <f t="shared" si="2"/>
        <v>0</v>
      </c>
      <c r="L5" s="197">
        <v>1</v>
      </c>
      <c r="O5" s="857"/>
      <c r="P5" s="857"/>
      <c r="Q5" s="857"/>
    </row>
    <row r="6" spans="1:17" ht="30" customHeight="1" x14ac:dyDescent="0.25">
      <c r="A6" s="202" t="str">
        <f>IF(L6=1,"EMD-"&amp;TEXT(COUNTIF($L$3:L6, "1"), "0"), "")</f>
        <v>EMD-4</v>
      </c>
      <c r="B6" s="297" t="s">
        <v>43</v>
      </c>
      <c r="C6" s="208" t="s">
        <v>617</v>
      </c>
      <c r="D6" s="209"/>
      <c r="E6" s="205"/>
      <c r="F6" s="299">
        <v>1</v>
      </c>
      <c r="G6" s="303" t="s">
        <v>101</v>
      </c>
      <c r="H6" s="131">
        <f>COUNTIF(G:G,"=Exception")</f>
        <v>0</v>
      </c>
      <c r="I6" s="329">
        <f t="shared" si="0"/>
        <v>1</v>
      </c>
      <c r="J6" s="329">
        <f t="shared" si="1"/>
        <v>0</v>
      </c>
      <c r="K6" s="329">
        <f t="shared" si="2"/>
        <v>0</v>
      </c>
      <c r="L6" s="197">
        <v>1</v>
      </c>
      <c r="O6" s="857"/>
      <c r="P6" s="857"/>
      <c r="Q6" s="857"/>
    </row>
    <row r="7" spans="1:17" ht="30" customHeight="1" x14ac:dyDescent="0.25">
      <c r="A7" s="202" t="str">
        <f>IF(L7=1,"EMD-"&amp;TEXT(COUNTIF($L$3:L7, "1"), "0"), "")</f>
        <v>EMD-5</v>
      </c>
      <c r="B7" s="297" t="s">
        <v>43</v>
      </c>
      <c r="C7" s="208" t="s">
        <v>618</v>
      </c>
      <c r="D7" s="209"/>
      <c r="E7" s="205"/>
      <c r="F7" s="299">
        <v>1</v>
      </c>
      <c r="G7" s="303" t="s">
        <v>101</v>
      </c>
      <c r="H7" s="140">
        <f>COUNTIFS(B:B,"=Critical",G:G,"=Select from Drop Down List")</f>
        <v>0</v>
      </c>
      <c r="I7" s="329">
        <f t="shared" si="0"/>
        <v>1</v>
      </c>
      <c r="J7" s="329">
        <f t="shared" si="1"/>
        <v>0</v>
      </c>
      <c r="K7" s="329">
        <f t="shared" si="2"/>
        <v>0</v>
      </c>
      <c r="L7" s="197">
        <v>1</v>
      </c>
    </row>
    <row r="8" spans="1:17" ht="27.6" x14ac:dyDescent="0.25">
      <c r="A8" s="202" t="str">
        <f>IF(L8=1,"EMD-"&amp;TEXT(COUNTIF($L$3:L8, "1"), "0"), "")</f>
        <v>EMD-6</v>
      </c>
      <c r="B8" s="297" t="s">
        <v>43</v>
      </c>
      <c r="C8" s="208" t="s">
        <v>619</v>
      </c>
      <c r="D8" s="209"/>
      <c r="E8" s="205"/>
      <c r="F8" s="299">
        <v>1</v>
      </c>
      <c r="G8" s="303" t="s">
        <v>101</v>
      </c>
      <c r="H8" s="140">
        <f>COUNTIFS(B:B,"=Critical",G:G,"=Function Available")</f>
        <v>0</v>
      </c>
      <c r="I8" s="329">
        <f t="shared" si="0"/>
        <v>1</v>
      </c>
      <c r="J8" s="329">
        <f t="shared" si="1"/>
        <v>0</v>
      </c>
      <c r="K8" s="329">
        <f t="shared" si="2"/>
        <v>0</v>
      </c>
      <c r="L8" s="197">
        <v>1</v>
      </c>
    </row>
    <row r="9" spans="1:17" ht="30" customHeight="1" x14ac:dyDescent="0.25">
      <c r="A9" s="202" t="str">
        <f>IF(L9=1,"EMD-"&amp;TEXT(COUNTIF($L$3:L9, "1"), "0"), "")</f>
        <v>EMD-7</v>
      </c>
      <c r="B9" s="297" t="s">
        <v>43</v>
      </c>
      <c r="C9" s="208" t="s">
        <v>620</v>
      </c>
      <c r="D9" s="209"/>
      <c r="E9" s="205"/>
      <c r="F9" s="299">
        <v>1</v>
      </c>
      <c r="G9" s="303" t="s">
        <v>101</v>
      </c>
      <c r="H9" s="140">
        <f>COUNTIFS(B:B,"=Critical",G:G,"=Function Not Available")</f>
        <v>0</v>
      </c>
      <c r="I9" s="329">
        <f t="shared" si="0"/>
        <v>1</v>
      </c>
      <c r="J9" s="329">
        <f t="shared" si="1"/>
        <v>0</v>
      </c>
      <c r="K9" s="329">
        <f t="shared" si="2"/>
        <v>0</v>
      </c>
      <c r="L9" s="197">
        <v>1</v>
      </c>
    </row>
    <row r="10" spans="1:17" ht="30" customHeight="1" x14ac:dyDescent="0.25">
      <c r="A10" s="202" t="str">
        <f>IF(L10=1,"EMD-"&amp;TEXT(COUNTIF($L$3:L10, "1"), "0"), "")</f>
        <v>EMD-8</v>
      </c>
      <c r="B10" s="297" t="s">
        <v>43</v>
      </c>
      <c r="C10" s="208" t="s">
        <v>620</v>
      </c>
      <c r="D10" s="292"/>
      <c r="E10" s="224"/>
      <c r="F10" s="293">
        <v>1</v>
      </c>
      <c r="G10" s="301" t="s">
        <v>101</v>
      </c>
      <c r="H10" s="140">
        <f>COUNTIFS(B:B,"=Critical",G:G,"=Exception")</f>
        <v>0</v>
      </c>
      <c r="I10" s="329">
        <f t="shared" si="0"/>
        <v>1</v>
      </c>
      <c r="J10" s="329">
        <f t="shared" si="1"/>
        <v>0</v>
      </c>
      <c r="K10" s="329">
        <f t="shared" si="2"/>
        <v>0</v>
      </c>
      <c r="L10" s="197">
        <v>1</v>
      </c>
    </row>
    <row r="11" spans="1:17" ht="15.6" x14ac:dyDescent="0.25">
      <c r="A11" s="210"/>
      <c r="B11" s="211"/>
      <c r="C11" s="345" t="s">
        <v>621</v>
      </c>
      <c r="D11" s="437"/>
      <c r="E11" s="309"/>
      <c r="F11" s="438"/>
      <c r="G11" s="434"/>
      <c r="H11" s="146">
        <f>COUNTIFS(B:B,"=Important",G:G,"=Select from Drop Down List")</f>
        <v>25</v>
      </c>
    </row>
    <row r="12" spans="1:17" ht="30" customHeight="1" x14ac:dyDescent="0.25">
      <c r="A12" s="202" t="str">
        <f>IF(L12=1,"EMD-"&amp;TEXT(COUNTIF($L$3:L12, "1"), "0"), "")</f>
        <v>EMD-9</v>
      </c>
      <c r="B12" s="297" t="s">
        <v>43</v>
      </c>
      <c r="C12" s="208" t="s">
        <v>622</v>
      </c>
      <c r="D12" s="292"/>
      <c r="E12" s="224"/>
      <c r="F12" s="293">
        <v>1</v>
      </c>
      <c r="G12" s="301" t="s">
        <v>101</v>
      </c>
      <c r="H12" s="146">
        <f>COUNTIFS(B:B,"=Important",G:G,"=Function Available")</f>
        <v>0</v>
      </c>
      <c r="I12" s="329">
        <f t="shared" ref="I12:I18" si="3">IF(NOT(ISBLANK($B12)),VLOOKUP($B12,specdata,2,FALSE()),"")</f>
        <v>1</v>
      </c>
      <c r="J12" s="329">
        <f t="shared" ref="J12:J18" si="4">VLOOKUP(G12,AvailabilityData,2,FALSE())</f>
        <v>0</v>
      </c>
      <c r="K12" s="329">
        <f t="shared" ref="K12:K18" si="5">I12*J12</f>
        <v>0</v>
      </c>
      <c r="L12" s="197">
        <v>1</v>
      </c>
    </row>
    <row r="13" spans="1:17" ht="30" customHeight="1" x14ac:dyDescent="0.25">
      <c r="A13" s="202" t="str">
        <f>IF(L13=1,"EMD-"&amp;TEXT(COUNTIF($L$3:L13, "1"), "0"), "")</f>
        <v>EMD-10</v>
      </c>
      <c r="B13" s="297" t="s">
        <v>43</v>
      </c>
      <c r="C13" s="208" t="s">
        <v>623</v>
      </c>
      <c r="D13" s="292"/>
      <c r="E13" s="224"/>
      <c r="F13" s="293">
        <v>1</v>
      </c>
      <c r="G13" s="301" t="s">
        <v>101</v>
      </c>
      <c r="H13" s="146">
        <f>COUNTIFS(B:B,"=Important",G:G,"=Function Not Available")</f>
        <v>0</v>
      </c>
      <c r="I13" s="329">
        <f t="shared" si="3"/>
        <v>1</v>
      </c>
      <c r="J13" s="329">
        <f t="shared" si="4"/>
        <v>0</v>
      </c>
      <c r="K13" s="329">
        <f t="shared" si="5"/>
        <v>0</v>
      </c>
      <c r="L13" s="197">
        <v>1</v>
      </c>
    </row>
    <row r="14" spans="1:17" ht="30" customHeight="1" x14ac:dyDescent="0.25">
      <c r="A14" s="202" t="str">
        <f>IF(L14=1,"EMD-"&amp;TEXT(COUNTIF($L$3:L14, "1"), "0"), "")</f>
        <v>EMD-11</v>
      </c>
      <c r="B14" s="297" t="s">
        <v>43</v>
      </c>
      <c r="C14" s="208" t="s">
        <v>624</v>
      </c>
      <c r="D14" s="292"/>
      <c r="E14" s="224"/>
      <c r="F14" s="293">
        <v>1</v>
      </c>
      <c r="G14" s="301" t="s">
        <v>101</v>
      </c>
      <c r="H14" s="146">
        <f>COUNTIFS(B:B,"=Important",G:G,"=Exception")</f>
        <v>0</v>
      </c>
      <c r="I14" s="329">
        <f t="shared" si="3"/>
        <v>1</v>
      </c>
      <c r="J14" s="329">
        <f t="shared" si="4"/>
        <v>0</v>
      </c>
      <c r="K14" s="329">
        <f t="shared" si="5"/>
        <v>0</v>
      </c>
      <c r="L14" s="197">
        <v>1</v>
      </c>
    </row>
    <row r="15" spans="1:17" ht="30" customHeight="1" x14ac:dyDescent="0.25">
      <c r="A15" s="202" t="str">
        <f>IF(L15=1,"EMD-"&amp;TEXT(COUNTIF($L$3:L15, "1"), "0"), "")</f>
        <v>EMD-12</v>
      </c>
      <c r="B15" s="297" t="s">
        <v>43</v>
      </c>
      <c r="C15" s="208" t="s">
        <v>625</v>
      </c>
      <c r="D15" s="292"/>
      <c r="E15" s="224"/>
      <c r="F15" s="293">
        <v>1</v>
      </c>
      <c r="G15" s="301" t="s">
        <v>101</v>
      </c>
      <c r="H15" s="147">
        <f>COUNTIFS(B:B,"=Informational",G:G,"=Select from Drop Down List")</f>
        <v>0</v>
      </c>
      <c r="I15" s="329">
        <f t="shared" si="3"/>
        <v>1</v>
      </c>
      <c r="J15" s="329">
        <f t="shared" si="4"/>
        <v>0</v>
      </c>
      <c r="K15" s="329">
        <f t="shared" si="5"/>
        <v>0</v>
      </c>
      <c r="L15" s="197">
        <v>1</v>
      </c>
    </row>
    <row r="16" spans="1:17" ht="30" customHeight="1" x14ac:dyDescent="0.25">
      <c r="A16" s="202" t="str">
        <f>IF(L16=1,"EMD-"&amp;TEXT(COUNTIF($L$3:L16, "1"), "0"), "")</f>
        <v>EMD-13</v>
      </c>
      <c r="B16" s="297" t="s">
        <v>43</v>
      </c>
      <c r="C16" s="208" t="s">
        <v>626</v>
      </c>
      <c r="D16" s="292"/>
      <c r="E16" s="224"/>
      <c r="F16" s="293">
        <v>1</v>
      </c>
      <c r="G16" s="301" t="s">
        <v>101</v>
      </c>
      <c r="H16" s="147">
        <f>COUNTIFS(B:B,"=Informational",G:G,"=Function Available")</f>
        <v>0</v>
      </c>
      <c r="I16" s="329">
        <f t="shared" si="3"/>
        <v>1</v>
      </c>
      <c r="J16" s="329">
        <f t="shared" si="4"/>
        <v>0</v>
      </c>
      <c r="K16" s="329">
        <f t="shared" si="5"/>
        <v>0</v>
      </c>
      <c r="L16" s="197">
        <v>1</v>
      </c>
    </row>
    <row r="17" spans="1:12" ht="30" customHeight="1" x14ac:dyDescent="0.25">
      <c r="A17" s="202" t="str">
        <f>IF(L17=1,"EMD-"&amp;TEXT(COUNTIF($L$3:L17, "1"), "0"), "")</f>
        <v>EMD-14</v>
      </c>
      <c r="B17" s="297" t="s">
        <v>43</v>
      </c>
      <c r="C17" s="208" t="s">
        <v>627</v>
      </c>
      <c r="D17" s="292"/>
      <c r="E17" s="224"/>
      <c r="F17" s="293">
        <v>1</v>
      </c>
      <c r="G17" s="301" t="s">
        <v>101</v>
      </c>
      <c r="H17" s="147">
        <f>COUNTIFS(B:B,"=Informational",G:G,"=Function Not Available")</f>
        <v>0</v>
      </c>
      <c r="I17" s="329">
        <f t="shared" si="3"/>
        <v>1</v>
      </c>
      <c r="J17" s="329">
        <f t="shared" si="4"/>
        <v>0</v>
      </c>
      <c r="K17" s="329">
        <f t="shared" si="5"/>
        <v>0</v>
      </c>
      <c r="L17" s="197">
        <v>1</v>
      </c>
    </row>
    <row r="18" spans="1:12" ht="30" customHeight="1" x14ac:dyDescent="0.25">
      <c r="A18" s="202" t="str">
        <f>IF(L18=1,"EMD-"&amp;TEXT(COUNTIF($L$3:L18, "1"), "0"), "")</f>
        <v>EMD-15</v>
      </c>
      <c r="B18" s="297" t="s">
        <v>43</v>
      </c>
      <c r="C18" s="208" t="s">
        <v>627</v>
      </c>
      <c r="D18" s="292"/>
      <c r="E18" s="224"/>
      <c r="F18" s="293">
        <v>1</v>
      </c>
      <c r="G18" s="301" t="s">
        <v>101</v>
      </c>
      <c r="H18" s="147">
        <f>COUNTIFS(B:B,"=Informational",G:G,"=Exception")</f>
        <v>0</v>
      </c>
      <c r="I18" s="329">
        <f t="shared" si="3"/>
        <v>1</v>
      </c>
      <c r="J18" s="329">
        <f t="shared" si="4"/>
        <v>0</v>
      </c>
      <c r="K18" s="329">
        <f t="shared" si="5"/>
        <v>0</v>
      </c>
      <c r="L18" s="197">
        <v>1</v>
      </c>
    </row>
    <row r="19" spans="1:12" x14ac:dyDescent="0.25">
      <c r="A19" s="342"/>
      <c r="B19" s="211"/>
      <c r="C19" s="345" t="s">
        <v>168</v>
      </c>
      <c r="D19" s="294"/>
      <c r="E19" s="214"/>
      <c r="F19" s="413"/>
      <c r="G19" s="434"/>
    </row>
    <row r="20" spans="1:12" ht="30" customHeight="1" x14ac:dyDescent="0.25">
      <c r="A20" s="202" t="str">
        <f>IF(L20=1,"EMD-"&amp;TEXT(COUNTIF($L$3:L20, "1"), "0"), "")</f>
        <v>EMD-16</v>
      </c>
      <c r="B20" s="203" t="s">
        <v>43</v>
      </c>
      <c r="C20" s="217" t="s">
        <v>185</v>
      </c>
      <c r="D20" s="295"/>
      <c r="E20" s="219"/>
      <c r="F20" s="296">
        <v>1</v>
      </c>
      <c r="G20" s="302" t="s">
        <v>101</v>
      </c>
      <c r="I20" s="329">
        <f>IF(NOT(ISBLANK($B20)),VLOOKUP($B20,specdata,2,FALSE()),"")</f>
        <v>1</v>
      </c>
      <c r="J20" s="329">
        <f>VLOOKUP(G20,AvailabilityData,2,FALSE())</f>
        <v>0</v>
      </c>
      <c r="K20" s="329">
        <f>I20*J20</f>
        <v>0</v>
      </c>
      <c r="L20" s="197">
        <v>1</v>
      </c>
    </row>
    <row r="21" spans="1:12" ht="30" customHeight="1" x14ac:dyDescent="0.25">
      <c r="A21" s="202" t="str">
        <f>IF(L21=1,"EMD-"&amp;TEXT(COUNTIF($L$3:L21, "1"), "0"), "")</f>
        <v>EMD-17</v>
      </c>
      <c r="B21" s="297" t="s">
        <v>43</v>
      </c>
      <c r="C21" s="221" t="s">
        <v>170</v>
      </c>
      <c r="D21" s="209"/>
      <c r="E21" s="205"/>
      <c r="F21" s="299">
        <v>1</v>
      </c>
      <c r="G21" s="303" t="s">
        <v>101</v>
      </c>
      <c r="I21" s="329">
        <f>IF(NOT(ISBLANK($B21)),VLOOKUP($B21,specdata,2,FALSE()),"")</f>
        <v>1</v>
      </c>
      <c r="J21" s="329">
        <f>VLOOKUP(G21,AvailabilityData,2,FALSE())</f>
        <v>0</v>
      </c>
      <c r="K21" s="329">
        <f>I21*J21</f>
        <v>0</v>
      </c>
      <c r="L21" s="197">
        <v>1</v>
      </c>
    </row>
    <row r="22" spans="1:12" ht="30" customHeight="1" x14ac:dyDescent="0.25">
      <c r="A22" s="202" t="str">
        <f>IF(L22=1,"EMD-"&amp;TEXT(COUNTIF($L$3:L22, "1"), "0"), "")</f>
        <v>EMD-18</v>
      </c>
      <c r="B22" s="297" t="s">
        <v>43</v>
      </c>
      <c r="C22" s="221" t="s">
        <v>171</v>
      </c>
      <c r="D22" s="209"/>
      <c r="E22" s="205"/>
      <c r="F22" s="299">
        <v>1</v>
      </c>
      <c r="G22" s="303" t="s">
        <v>101</v>
      </c>
      <c r="I22" s="329">
        <f>IF(NOT(ISBLANK($B22)),VLOOKUP($B22,specdata,2,FALSE()),"")</f>
        <v>1</v>
      </c>
      <c r="J22" s="329">
        <f>VLOOKUP(G22,AvailabilityData,2,FALSE())</f>
        <v>0</v>
      </c>
      <c r="K22" s="329">
        <f>I22*J22</f>
        <v>0</v>
      </c>
      <c r="L22" s="197">
        <v>1</v>
      </c>
    </row>
    <row r="23" spans="1:12" ht="30" customHeight="1" x14ac:dyDescent="0.25">
      <c r="A23" s="202" t="str">
        <f>IF(L23=1,"EMD-"&amp;TEXT(COUNTIF($L$3:L23, "1"), "0"), "")</f>
        <v>EMD-19</v>
      </c>
      <c r="B23" s="651" t="s">
        <v>43</v>
      </c>
      <c r="C23" s="221" t="s">
        <v>172</v>
      </c>
      <c r="D23" s="209"/>
      <c r="E23" s="205"/>
      <c r="F23" s="299">
        <v>1</v>
      </c>
      <c r="G23" s="303" t="s">
        <v>101</v>
      </c>
      <c r="I23" s="329">
        <f>IF(NOT(ISBLANK($B23)),VLOOKUP($B23,specdata,2,FALSE()),"")</f>
        <v>1</v>
      </c>
      <c r="J23" s="329">
        <f>VLOOKUP(G23,AvailabilityData,2,FALSE())</f>
        <v>0</v>
      </c>
      <c r="K23" s="329">
        <f>I23*J23</f>
        <v>0</v>
      </c>
      <c r="L23" s="197">
        <v>1</v>
      </c>
    </row>
    <row r="24" spans="1:12" ht="30" customHeight="1" x14ac:dyDescent="0.25">
      <c r="A24" s="202" t="str">
        <f>IF(L24=1,"EMD-"&amp;TEXT(COUNTIF($L$3:L24, "1"), "0"), "")</f>
        <v>EMD-20</v>
      </c>
      <c r="B24" s="652" t="s">
        <v>43</v>
      </c>
      <c r="C24" s="222" t="s">
        <v>173</v>
      </c>
      <c r="D24" s="223"/>
      <c r="E24" s="224"/>
      <c r="F24" s="293">
        <v>1</v>
      </c>
      <c r="G24" s="301" t="s">
        <v>101</v>
      </c>
      <c r="I24" s="329">
        <f>IF(NOT(ISBLANK($B24)),VLOOKUP($B24,specdata,2,FALSE()),"")</f>
        <v>1</v>
      </c>
      <c r="J24" s="329">
        <f>VLOOKUP(G24,AvailabilityData,2,FALSE())</f>
        <v>0</v>
      </c>
      <c r="K24" s="329">
        <f>I24*J24</f>
        <v>0</v>
      </c>
      <c r="L24" s="197">
        <v>1</v>
      </c>
    </row>
    <row r="25" spans="1:12" x14ac:dyDescent="0.25">
      <c r="A25" s="342"/>
      <c r="B25" s="211"/>
      <c r="C25" s="345" t="s">
        <v>174</v>
      </c>
      <c r="D25" s="213"/>
      <c r="E25" s="214"/>
      <c r="F25" s="413"/>
      <c r="G25" s="434"/>
    </row>
    <row r="26" spans="1:12" ht="30" customHeight="1" x14ac:dyDescent="0.25">
      <c r="A26" s="202" t="str">
        <f>IF(L26=1,"EMD-"&amp;TEXT(COUNTIF($L$3:L26, "1"), "0"), "")</f>
        <v>EMD-21</v>
      </c>
      <c r="B26" s="203" t="s">
        <v>43</v>
      </c>
      <c r="C26" s="232" t="s">
        <v>258</v>
      </c>
      <c r="D26" s="218"/>
      <c r="E26" s="219"/>
      <c r="F26" s="296">
        <v>1</v>
      </c>
      <c r="G26" s="302" t="s">
        <v>101</v>
      </c>
      <c r="I26" s="329">
        <f>IF(NOT(ISBLANK($B26)),VLOOKUP($B26,specdata,2,FALSE()),"")</f>
        <v>1</v>
      </c>
      <c r="J26" s="329">
        <f>VLOOKUP(G26,AvailabilityData,2,FALSE())</f>
        <v>0</v>
      </c>
      <c r="K26" s="329">
        <f>I26*J26</f>
        <v>0</v>
      </c>
      <c r="L26" s="197">
        <v>1</v>
      </c>
    </row>
    <row r="27" spans="1:12" ht="27.6" x14ac:dyDescent="0.25">
      <c r="A27" s="202" t="str">
        <f>IF(L27=1,"EMD-"&amp;TEXT(COUNTIF($L$3:L27, "1"), "0"), "")</f>
        <v>EMD-22</v>
      </c>
      <c r="B27" s="297" t="s">
        <v>43</v>
      </c>
      <c r="C27" s="208" t="s">
        <v>628</v>
      </c>
      <c r="D27" s="298"/>
      <c r="E27" s="205"/>
      <c r="F27" s="299">
        <v>1</v>
      </c>
      <c r="G27" s="303" t="s">
        <v>101</v>
      </c>
      <c r="I27" s="329">
        <f>IF(NOT(ISBLANK($B27)),VLOOKUP($B27,specdata,2,FALSE()),"")</f>
        <v>1</v>
      </c>
      <c r="J27" s="329">
        <f>VLOOKUP(G27,AvailabilityData,2,FALSE())</f>
        <v>0</v>
      </c>
      <c r="K27" s="329">
        <f>I27*J27</f>
        <v>0</v>
      </c>
      <c r="L27" s="197">
        <v>1</v>
      </c>
    </row>
    <row r="28" spans="1:12" ht="41.4" x14ac:dyDescent="0.25">
      <c r="A28" s="202" t="str">
        <f>IF(L28=1,"EMD-"&amp;TEXT(COUNTIF($L$3:L28, "1"), "0"), "")</f>
        <v>EMD-23</v>
      </c>
      <c r="B28" s="297" t="s">
        <v>43</v>
      </c>
      <c r="C28" s="439" t="s">
        <v>193</v>
      </c>
      <c r="D28" s="440"/>
      <c r="E28" s="205"/>
      <c r="F28" s="299">
        <v>1</v>
      </c>
      <c r="G28" s="303" t="s">
        <v>101</v>
      </c>
      <c r="I28" s="329">
        <f>IF(NOT(ISBLANK($B28)),VLOOKUP($B28,specdata,2,FALSE()),"")</f>
        <v>1</v>
      </c>
      <c r="J28" s="329">
        <f>VLOOKUP(G28,AvailabilityData,2,FALSE())</f>
        <v>0</v>
      </c>
      <c r="K28" s="329">
        <f>I28*J28</f>
        <v>0</v>
      </c>
      <c r="L28" s="197">
        <v>1</v>
      </c>
    </row>
    <row r="29" spans="1:12" ht="27.6" x14ac:dyDescent="0.25">
      <c r="A29" s="202" t="str">
        <f>IF(L29=1,"EMD-"&amp;TEXT(COUNTIF($L$3:L29, "1"), "0"), "")</f>
        <v>EMD-24</v>
      </c>
      <c r="B29" s="297" t="s">
        <v>43</v>
      </c>
      <c r="C29" s="439" t="s">
        <v>629</v>
      </c>
      <c r="D29" s="440"/>
      <c r="E29" s="205"/>
      <c r="F29" s="299">
        <v>1</v>
      </c>
      <c r="G29" s="303" t="s">
        <v>101</v>
      </c>
      <c r="I29" s="329">
        <f>IF(NOT(ISBLANK($B29)),VLOOKUP($B29,specdata,2,FALSE()),"")</f>
        <v>1</v>
      </c>
      <c r="J29" s="329">
        <f>VLOOKUP(G29,AvailabilityData,2,FALSE())</f>
        <v>0</v>
      </c>
      <c r="K29" s="329">
        <f>I29*J29</f>
        <v>0</v>
      </c>
      <c r="L29" s="197">
        <v>1</v>
      </c>
    </row>
    <row r="30" spans="1:12" ht="55.2" x14ac:dyDescent="0.25">
      <c r="A30" s="202" t="str">
        <f>IF(L30=1,"EMD-"&amp;TEXT(COUNTIF($L$3:L30, "1"), "0"), "")</f>
        <v>EMD-25</v>
      </c>
      <c r="B30" s="297" t="s">
        <v>43</v>
      </c>
      <c r="C30" s="439" t="s">
        <v>630</v>
      </c>
      <c r="D30" s="440"/>
      <c r="G30" s="303" t="s">
        <v>101</v>
      </c>
      <c r="I30" s="329">
        <f>IF(NOT(ISBLANK($B30)),VLOOKUP($B30,specdata,2,FALSE()),"")</f>
        <v>1</v>
      </c>
      <c r="J30" s="329">
        <f>VLOOKUP(G30,AvailabilityData,2,FALSE())</f>
        <v>0</v>
      </c>
      <c r="K30" s="329">
        <f>I30*J30</f>
        <v>0</v>
      </c>
      <c r="L30" s="197">
        <v>1</v>
      </c>
    </row>
    <row r="31" spans="1:12" ht="30" customHeight="1" x14ac:dyDescent="0.25">
      <c r="H31" s="197"/>
    </row>
    <row r="32" spans="1:12" ht="30" customHeight="1" x14ac:dyDescent="0.25">
      <c r="H32" s="197"/>
    </row>
    <row r="33" spans="8:8" ht="30" customHeight="1" x14ac:dyDescent="0.25">
      <c r="H33" s="197"/>
    </row>
    <row r="34" spans="8:8" ht="30" customHeight="1" x14ac:dyDescent="0.25">
      <c r="H34" s="197"/>
    </row>
    <row r="35" spans="8:8" ht="30" customHeight="1" x14ac:dyDescent="0.25">
      <c r="H35" s="197"/>
    </row>
    <row r="36" spans="8:8" ht="15" customHeight="1" x14ac:dyDescent="0.25">
      <c r="H36" s="197"/>
    </row>
    <row r="37" spans="8:8" ht="15" customHeight="1" x14ac:dyDescent="0.25">
      <c r="H37" s="197"/>
    </row>
    <row r="38" spans="8:8" ht="30" customHeight="1" x14ac:dyDescent="0.25">
      <c r="H38" s="197"/>
    </row>
    <row r="39" spans="8:8" ht="30" customHeight="1" x14ac:dyDescent="0.25">
      <c r="H39" s="197"/>
    </row>
    <row r="40" spans="8:8" ht="30" customHeight="1" x14ac:dyDescent="0.25">
      <c r="H40" s="197"/>
    </row>
    <row r="41" spans="8:8" ht="30" customHeight="1" x14ac:dyDescent="0.25">
      <c r="H41" s="197"/>
    </row>
    <row r="42" spans="8:8" ht="30" customHeight="1" x14ac:dyDescent="0.25">
      <c r="H42" s="197"/>
    </row>
    <row r="43" spans="8:8" ht="30" customHeight="1" x14ac:dyDescent="0.25">
      <c r="H43" s="197"/>
    </row>
    <row r="44" spans="8:8" ht="30" customHeight="1" x14ac:dyDescent="0.25">
      <c r="H44" s="197"/>
    </row>
    <row r="45" spans="8:8" ht="30" customHeight="1" x14ac:dyDescent="0.25">
      <c r="H45" s="197"/>
    </row>
    <row r="46" spans="8:8" ht="30" customHeight="1" x14ac:dyDescent="0.25">
      <c r="H46" s="197"/>
    </row>
    <row r="47" spans="8:8" ht="30" customHeight="1" x14ac:dyDescent="0.25">
      <c r="H47" s="197"/>
    </row>
    <row r="48" spans="8:8" ht="30" customHeight="1" x14ac:dyDescent="0.25"/>
    <row r="49" ht="30" customHeight="1" x14ac:dyDescent="0.25"/>
    <row r="50" ht="30" customHeight="1" x14ac:dyDescent="0.25"/>
    <row r="51" ht="30" customHeight="1" x14ac:dyDescent="0.25"/>
    <row r="52" ht="30" customHeight="1" x14ac:dyDescent="0.25"/>
    <row r="53" ht="30" customHeight="1" x14ac:dyDescent="0.25"/>
    <row r="54" ht="30" customHeight="1" x14ac:dyDescent="0.25"/>
    <row r="55" ht="30" customHeight="1" x14ac:dyDescent="0.25"/>
    <row r="56" ht="30" customHeight="1" x14ac:dyDescent="0.25"/>
    <row r="59" ht="30" customHeight="1" x14ac:dyDescent="0.25"/>
    <row r="60" ht="30" customHeight="1" x14ac:dyDescent="0.25"/>
    <row r="61" ht="30" customHeight="1" x14ac:dyDescent="0.25"/>
    <row r="62" ht="30" customHeight="1" x14ac:dyDescent="0.25"/>
    <row r="63" ht="30" customHeight="1" x14ac:dyDescent="0.25"/>
    <row r="64" ht="30" customHeight="1" x14ac:dyDescent="0.25"/>
    <row r="65" spans="3:4" ht="30" customHeight="1" x14ac:dyDescent="0.25"/>
    <row r="66" spans="3:4" ht="30" customHeight="1" x14ac:dyDescent="0.25"/>
    <row r="67" spans="3:4" ht="30" customHeight="1" x14ac:dyDescent="0.25"/>
    <row r="68" spans="3:4" ht="30" customHeight="1" x14ac:dyDescent="0.25"/>
    <row r="69" spans="3:4" ht="30" customHeight="1" x14ac:dyDescent="0.25"/>
    <row r="70" spans="3:4" ht="30" customHeight="1" x14ac:dyDescent="0.25"/>
    <row r="71" spans="3:4" ht="30" customHeight="1" x14ac:dyDescent="0.25"/>
    <row r="72" spans="3:4" ht="30" customHeight="1" x14ac:dyDescent="0.25"/>
    <row r="73" spans="3:4" ht="30" customHeight="1" x14ac:dyDescent="0.25"/>
    <row r="74" spans="3:4" ht="30" customHeight="1" x14ac:dyDescent="0.25"/>
    <row r="76" spans="3:4" ht="30" customHeight="1" x14ac:dyDescent="0.25">
      <c r="C76" s="356"/>
      <c r="D76" s="359"/>
    </row>
    <row r="77" spans="3:4" ht="30" customHeight="1" x14ac:dyDescent="0.25">
      <c r="C77" s="356"/>
      <c r="D77" s="359"/>
    </row>
    <row r="78" spans="3:4" ht="30" customHeight="1" x14ac:dyDescent="0.25">
      <c r="C78" s="356"/>
      <c r="D78" s="359"/>
    </row>
    <row r="79" spans="3:4" ht="30" customHeight="1" x14ac:dyDescent="0.25"/>
    <row r="80" spans="3:4" ht="30" customHeight="1" x14ac:dyDescent="0.25">
      <c r="C80" s="356"/>
      <c r="D80" s="360"/>
    </row>
    <row r="81" spans="3:4" ht="30" customHeight="1" x14ac:dyDescent="0.25">
      <c r="C81" s="356"/>
      <c r="D81" s="360"/>
    </row>
    <row r="82" spans="3:4" ht="30" customHeight="1" x14ac:dyDescent="0.25">
      <c r="C82" s="356"/>
      <c r="D82" s="360"/>
    </row>
    <row r="83" spans="3:4" ht="30" customHeight="1" x14ac:dyDescent="0.25">
      <c r="C83" s="356"/>
      <c r="D83" s="360"/>
    </row>
    <row r="84" spans="3:4" ht="30" customHeight="1" x14ac:dyDescent="0.25">
      <c r="C84" s="356"/>
      <c r="D84" s="360"/>
    </row>
    <row r="85" spans="3:4" ht="30" customHeight="1" x14ac:dyDescent="0.25">
      <c r="C85" s="356"/>
      <c r="D85" s="360"/>
    </row>
    <row r="86" spans="3:4" ht="30" customHeight="1" x14ac:dyDescent="0.25">
      <c r="C86" s="356"/>
      <c r="D86" s="360"/>
    </row>
    <row r="87" spans="3:4" ht="30" customHeight="1" x14ac:dyDescent="0.25">
      <c r="C87" s="356"/>
      <c r="D87" s="360"/>
    </row>
    <row r="88" spans="3:4" ht="30" customHeight="1" x14ac:dyDescent="0.25">
      <c r="C88" s="356"/>
      <c r="D88" s="359"/>
    </row>
    <row r="89" spans="3:4" ht="30" customHeight="1" x14ac:dyDescent="0.25">
      <c r="C89" s="356"/>
      <c r="D89" s="359"/>
    </row>
    <row r="90" spans="3:4" ht="30" customHeight="1" x14ac:dyDescent="0.25">
      <c r="C90" s="356"/>
      <c r="D90" s="359"/>
    </row>
    <row r="91" spans="3:4" ht="30" customHeight="1" x14ac:dyDescent="0.25">
      <c r="C91" s="356"/>
      <c r="D91" s="359"/>
    </row>
    <row r="92" spans="3:4" ht="30" customHeight="1" x14ac:dyDescent="0.25">
      <c r="C92" s="356"/>
      <c r="D92" s="360"/>
    </row>
    <row r="93" spans="3:4" ht="30" customHeight="1" x14ac:dyDescent="0.25">
      <c r="C93" s="356"/>
      <c r="D93" s="360"/>
    </row>
    <row r="94" spans="3:4" ht="30" customHeight="1" x14ac:dyDescent="0.25">
      <c r="C94" s="356"/>
      <c r="D94" s="360"/>
    </row>
    <row r="95" spans="3:4" ht="30" customHeight="1" x14ac:dyDescent="0.25">
      <c r="C95" s="356"/>
      <c r="D95" s="360"/>
    </row>
    <row r="96" spans="3:4" ht="30" customHeight="1" x14ac:dyDescent="0.25">
      <c r="C96" s="356"/>
      <c r="D96" s="360"/>
    </row>
    <row r="97" spans="3:4" ht="30" customHeight="1" x14ac:dyDescent="0.25">
      <c r="C97" s="356"/>
      <c r="D97" s="360"/>
    </row>
    <row r="98" spans="3:4" ht="30" customHeight="1" x14ac:dyDescent="0.25">
      <c r="C98" s="356"/>
      <c r="D98" s="360"/>
    </row>
    <row r="99" spans="3:4" ht="30" customHeight="1" x14ac:dyDescent="0.25">
      <c r="C99" s="356"/>
      <c r="D99" s="360"/>
    </row>
    <row r="100" spans="3:4" ht="30" customHeight="1" x14ac:dyDescent="0.25"/>
    <row r="101" spans="3:4" ht="30" customHeight="1" x14ac:dyDescent="0.25"/>
    <row r="102" spans="3:4" ht="30" customHeight="1" x14ac:dyDescent="0.25"/>
    <row r="103" spans="3:4" ht="30" customHeight="1" x14ac:dyDescent="0.25"/>
    <row r="104" spans="3:4" ht="30" customHeight="1" x14ac:dyDescent="0.25"/>
    <row r="105" spans="3:4" ht="30" customHeight="1" x14ac:dyDescent="0.25"/>
    <row r="106" spans="3:4" ht="30" customHeight="1" x14ac:dyDescent="0.25"/>
    <row r="107" spans="3:4" ht="30" customHeight="1" x14ac:dyDescent="0.25"/>
    <row r="108" spans="3:4" ht="30" customHeight="1" x14ac:dyDescent="0.25"/>
    <row r="109" spans="3:4" ht="30" customHeight="1" x14ac:dyDescent="0.25"/>
    <row r="110" spans="3:4" ht="30" customHeight="1" x14ac:dyDescent="0.25"/>
    <row r="111" spans="3:4" ht="30" customHeight="1" x14ac:dyDescent="0.25"/>
    <row r="112" spans="3:4" ht="30" customHeight="1" x14ac:dyDescent="0.25"/>
    <row r="113" ht="30" customHeight="1" x14ac:dyDescent="0.25"/>
    <row r="114" ht="30" customHeight="1" x14ac:dyDescent="0.25"/>
    <row r="115" ht="30" customHeight="1" x14ac:dyDescent="0.25"/>
    <row r="116" ht="30" customHeight="1" x14ac:dyDescent="0.25"/>
    <row r="117" ht="30" customHeight="1" x14ac:dyDescent="0.25"/>
    <row r="118" ht="30" customHeight="1" x14ac:dyDescent="0.25"/>
    <row r="119" ht="30" customHeight="1" x14ac:dyDescent="0.25"/>
    <row r="120" ht="30" customHeight="1" x14ac:dyDescent="0.25"/>
    <row r="121" ht="30" customHeight="1" x14ac:dyDescent="0.25"/>
    <row r="122" ht="30" customHeight="1" x14ac:dyDescent="0.25"/>
    <row r="123" ht="30" customHeight="1" x14ac:dyDescent="0.25"/>
    <row r="124" ht="30" customHeight="1" x14ac:dyDescent="0.25"/>
    <row r="125" ht="30" customHeight="1" x14ac:dyDescent="0.25"/>
    <row r="126" ht="30" customHeight="1" x14ac:dyDescent="0.25"/>
    <row r="127" ht="30" customHeight="1" x14ac:dyDescent="0.25"/>
    <row r="128" ht="30" customHeight="1" x14ac:dyDescent="0.25"/>
    <row r="129" ht="30" customHeight="1" x14ac:dyDescent="0.25"/>
    <row r="130" ht="30" customHeight="1" x14ac:dyDescent="0.25"/>
    <row r="131" ht="30" customHeight="1" x14ac:dyDescent="0.25"/>
    <row r="132" ht="30" customHeight="1" x14ac:dyDescent="0.25"/>
    <row r="133" ht="30" customHeight="1" x14ac:dyDescent="0.25"/>
    <row r="134" ht="30" customHeight="1" x14ac:dyDescent="0.25"/>
    <row r="135" ht="30" customHeight="1" x14ac:dyDescent="0.25"/>
    <row r="136" ht="30" customHeight="1" x14ac:dyDescent="0.25"/>
    <row r="137" ht="30" customHeight="1" x14ac:dyDescent="0.25"/>
    <row r="138" ht="30" customHeight="1" x14ac:dyDescent="0.25"/>
    <row r="139" ht="30" customHeight="1" x14ac:dyDescent="0.25"/>
    <row r="140" ht="30" customHeight="1" x14ac:dyDescent="0.25"/>
    <row r="141" ht="30" customHeight="1" x14ac:dyDescent="0.25"/>
    <row r="142" ht="30" customHeight="1" x14ac:dyDescent="0.25"/>
    <row r="143" ht="30" customHeight="1" x14ac:dyDescent="0.25"/>
    <row r="144" ht="30" customHeight="1" x14ac:dyDescent="0.25"/>
    <row r="145" ht="30" customHeight="1" x14ac:dyDescent="0.25"/>
    <row r="146" ht="30" customHeight="1" x14ac:dyDescent="0.25"/>
    <row r="147" ht="30" customHeight="1" x14ac:dyDescent="0.25"/>
    <row r="148" ht="30" customHeight="1" x14ac:dyDescent="0.25"/>
    <row r="149" ht="30" customHeight="1" x14ac:dyDescent="0.25"/>
    <row r="150" ht="30" customHeight="1" x14ac:dyDescent="0.25"/>
    <row r="151" ht="45" customHeight="1" x14ac:dyDescent="0.25"/>
    <row r="152" ht="30" customHeight="1" x14ac:dyDescent="0.25"/>
    <row r="153" ht="30" customHeight="1" x14ac:dyDescent="0.25"/>
    <row r="154" ht="30" customHeight="1" x14ac:dyDescent="0.25"/>
    <row r="155" ht="30" customHeight="1" x14ac:dyDescent="0.25"/>
    <row r="156" ht="30" customHeight="1" x14ac:dyDescent="0.25"/>
    <row r="157" ht="30" customHeight="1" x14ac:dyDescent="0.25"/>
    <row r="158" ht="30" customHeight="1" x14ac:dyDescent="0.25"/>
    <row r="159" ht="30" customHeight="1" x14ac:dyDescent="0.25"/>
    <row r="160" ht="30" customHeight="1" x14ac:dyDescent="0.25"/>
    <row r="161" ht="30" customHeight="1" x14ac:dyDescent="0.25"/>
    <row r="162" ht="30" customHeight="1" x14ac:dyDescent="0.25"/>
    <row r="163" ht="30" customHeight="1" x14ac:dyDescent="0.25"/>
    <row r="164" ht="30" customHeight="1" x14ac:dyDescent="0.25"/>
    <row r="165" ht="30" customHeight="1" x14ac:dyDescent="0.25"/>
    <row r="166" ht="30" customHeight="1" x14ac:dyDescent="0.25"/>
    <row r="167" ht="30" customHeight="1" x14ac:dyDescent="0.25"/>
    <row r="168" ht="59.25" customHeight="1" x14ac:dyDescent="0.25"/>
  </sheetData>
  <sheetProtection algorithmName="SHA-512" hashValue="k2J1ogJWiuuLP1Kuuz2aI6M52dH+M5HPEOTIewESpRcgz+18kuiSN0O6wuP2lLyuz7QqAq41FCFlNLPY4vsv1w==" saltValue="Z9N4m3Ej8eKDrKcKJakyXQ==" spinCount="100000" sheet="1" objects="1" scenarios="1"/>
  <mergeCells count="1">
    <mergeCell ref="O3:Q6"/>
  </mergeCells>
  <conditionalFormatting sqref="B1:B1048576">
    <cfRule type="cellIs" dxfId="207" priority="3" operator="equal">
      <formula>"Informational"</formula>
    </cfRule>
    <cfRule type="cellIs" dxfId="206" priority="4" operator="equal">
      <formula>"Not Needed"</formula>
    </cfRule>
    <cfRule type="cellIs" dxfId="205" priority="5" operator="equal">
      <formula>"Extremely Advantageous"</formula>
    </cfRule>
    <cfRule type="cellIs" dxfId="204" priority="6" operator="equal">
      <formula>"Critical"</formula>
    </cfRule>
  </conditionalFormatting>
  <conditionalFormatting sqref="B2:B5">
    <cfRule type="cellIs" dxfId="203" priority="8" operator="equal">
      <formula>"Mandatory"</formula>
    </cfRule>
  </conditionalFormatting>
  <conditionalFormatting sqref="G1:G1048576">
    <cfRule type="cellIs" dxfId="202" priority="7" operator="equal">
      <formula>"Exception"</formula>
    </cfRule>
  </conditionalFormatting>
  <conditionalFormatting sqref="G3:G30">
    <cfRule type="cellIs" dxfId="201" priority="9"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5" xr:uid="{00000000-0002-0000-1800-000000000000}">
      <formula1>SpecType</formula1>
      <formula2>0</formula2>
    </dataValidation>
    <dataValidation type="list" allowBlank="1" showInputMessage="1" showErrorMessage="1" sqref="G3:G10 G12:G18 G20:G24 G26:G30" xr:uid="{00000000-0002-0000-18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pageSetUpPr fitToPage="1"/>
  </sheetPr>
  <dimension ref="A1:Q78"/>
  <sheetViews>
    <sheetView zoomScaleNormal="100" workbookViewId="0">
      <selection activeCell="O3" sqref="O3:Q7"/>
    </sheetView>
  </sheetViews>
  <sheetFormatPr defaultColWidth="9" defaultRowHeight="15.6" x14ac:dyDescent="0.3"/>
  <cols>
    <col min="1" max="1" width="10.59765625" style="113" customWidth="1"/>
    <col min="2" max="2" width="14.59765625" style="113" customWidth="1"/>
    <col min="3" max="3" width="65.59765625" style="114" customWidth="1"/>
    <col min="4" max="4" width="65.59765625" style="115" customWidth="1"/>
    <col min="5" max="5" width="10.59765625" style="115" hidden="1" customWidth="1"/>
    <col min="6" max="6" width="6.59765625" style="115" hidden="1" customWidth="1"/>
    <col min="7" max="7" width="30.59765625" style="115" customWidth="1"/>
    <col min="8" max="11" width="8.59765625" style="116" hidden="1" customWidth="1"/>
    <col min="12" max="12" width="0" style="115" hidden="1" customWidth="1"/>
    <col min="13" max="16384" width="9" style="115"/>
  </cols>
  <sheetData>
    <row r="1" spans="1:17" ht="105" customHeight="1" thickBot="1" x14ac:dyDescent="0.35">
      <c r="A1" s="366" t="s">
        <v>102</v>
      </c>
      <c r="B1" s="119" t="s">
        <v>103</v>
      </c>
      <c r="C1" s="366" t="str">
        <f>'Support Data'!A18</f>
        <v>Specifications</v>
      </c>
      <c r="D1" s="367" t="str">
        <f>'Support Data'!$A$19</f>
        <v>Contractor Work Area</v>
      </c>
      <c r="E1" s="367" t="str">
        <f>'Support Data'!A20</f>
        <v>Def ID</v>
      </c>
      <c r="F1" s="368" t="s">
        <v>78</v>
      </c>
      <c r="G1" s="367" t="str">
        <f>'Support Data'!A22</f>
        <v>Availability</v>
      </c>
      <c r="H1" s="123" t="str">
        <f>'Support Data'!A24</f>
        <v>Summary</v>
      </c>
      <c r="I1" s="123" t="str">
        <f>'Support Data'!A25</f>
        <v>Spec Weight</v>
      </c>
      <c r="J1" s="123" t="str">
        <f>'Support Data'!A26</f>
        <v>Avail Weight</v>
      </c>
      <c r="K1" s="123" t="str">
        <f>'Support Data'!A27</f>
        <v>Score</v>
      </c>
      <c r="L1" s="123" t="s">
        <v>104</v>
      </c>
      <c r="M1" s="838"/>
    </row>
    <row r="2" spans="1:17" ht="16.2" thickBot="1" x14ac:dyDescent="0.35">
      <c r="A2" s="369" t="s">
        <v>631</v>
      </c>
      <c r="B2" s="161"/>
      <c r="C2" s="371"/>
      <c r="D2" s="372"/>
      <c r="E2" s="372"/>
      <c r="F2" s="372"/>
      <c r="G2" s="837"/>
      <c r="H2" s="264">
        <f>COUNTA(B3:B61)</f>
        <v>54</v>
      </c>
      <c r="K2" s="116">
        <f>SUM(K3:K61)</f>
        <v>0</v>
      </c>
    </row>
    <row r="3" spans="1:17" ht="48.75" customHeight="1" thickBot="1" x14ac:dyDescent="0.35">
      <c r="A3" s="373" t="str">
        <f>IF(L3=1,"ePCR-"&amp;TEXT(COUNTIF($L$3:L3, "1"), "0"), "")</f>
        <v>ePCR-1</v>
      </c>
      <c r="B3" s="183" t="s">
        <v>45</v>
      </c>
      <c r="C3" s="374" t="s">
        <v>1717</v>
      </c>
      <c r="D3" s="836"/>
      <c r="E3" s="168"/>
      <c r="F3" s="166">
        <v>1</v>
      </c>
      <c r="G3" s="137" t="s">
        <v>101</v>
      </c>
      <c r="H3" s="131">
        <f>COUNTIF(G:G,"=Select from Drop Down List")</f>
        <v>54</v>
      </c>
      <c r="I3" s="116">
        <f t="shared" ref="I3:I27" si="0">IF(NOT(ISBLANK($B3)),VLOOKUP($B3,specdata,2,FALSE()),"")</f>
        <v>0</v>
      </c>
      <c r="J3" s="116">
        <f t="shared" ref="J3:J27" si="1">VLOOKUP(G3,AvailabilityData,2,FALSE())</f>
        <v>0</v>
      </c>
      <c r="K3" s="116">
        <f t="shared" ref="K3:K27" si="2">I3*J3</f>
        <v>0</v>
      </c>
      <c r="L3" s="115">
        <v>1</v>
      </c>
      <c r="O3" s="859"/>
      <c r="P3" s="859"/>
      <c r="Q3" s="859"/>
    </row>
    <row r="4" spans="1:17" ht="43.35" customHeight="1" thickBot="1" x14ac:dyDescent="0.35">
      <c r="A4" s="373" t="str">
        <f>IF(L4=1,"ePCR-"&amp;TEXT(COUNTIF($L$3:L4, "1"), "0"), "")</f>
        <v>ePCR-2</v>
      </c>
      <c r="B4" s="183" t="s">
        <v>45</v>
      </c>
      <c r="C4" s="374" t="s">
        <v>1718</v>
      </c>
      <c r="D4" s="836"/>
      <c r="E4" s="168"/>
      <c r="F4" s="166"/>
      <c r="G4" s="137" t="s">
        <v>101</v>
      </c>
      <c r="H4" s="131">
        <f>COUNTIF(G:G,"=Function Available")</f>
        <v>0</v>
      </c>
      <c r="I4" s="116">
        <f t="shared" si="0"/>
        <v>0</v>
      </c>
      <c r="J4" s="116">
        <f t="shared" ref="J4" si="3">VLOOKUP(G4,AvailabilityData,2,FALSE())</f>
        <v>0</v>
      </c>
      <c r="K4" s="116">
        <f t="shared" ref="K4" si="4">I4*J4</f>
        <v>0</v>
      </c>
      <c r="L4" s="115">
        <v>1</v>
      </c>
      <c r="O4" s="859"/>
      <c r="P4" s="859"/>
      <c r="Q4" s="859"/>
    </row>
    <row r="5" spans="1:17" ht="31.8" thickBot="1" x14ac:dyDescent="0.35">
      <c r="A5" s="373" t="str">
        <f>IF(L5=1,"ePCR-"&amp;TEXT(COUNTIF($L$3:L5, "1"), "0"), "")</f>
        <v>ePCR-3</v>
      </c>
      <c r="B5" s="183" t="s">
        <v>43</v>
      </c>
      <c r="C5" s="374" t="s">
        <v>632</v>
      </c>
      <c r="D5" s="375"/>
      <c r="E5" s="168"/>
      <c r="F5" s="166">
        <v>1</v>
      </c>
      <c r="G5" s="137" t="s">
        <v>101</v>
      </c>
      <c r="H5" s="131">
        <f>COUNTIF(F:G,"=Function Not Available")</f>
        <v>0</v>
      </c>
      <c r="I5" s="116">
        <f t="shared" si="0"/>
        <v>1</v>
      </c>
      <c r="J5" s="116">
        <f t="shared" si="1"/>
        <v>0</v>
      </c>
      <c r="K5" s="116">
        <f t="shared" si="2"/>
        <v>0</v>
      </c>
      <c r="L5" s="115">
        <v>1</v>
      </c>
      <c r="O5" s="859"/>
      <c r="P5" s="859"/>
      <c r="Q5" s="859"/>
    </row>
    <row r="6" spans="1:17" ht="47.4" thickBot="1" x14ac:dyDescent="0.35">
      <c r="A6" s="373" t="str">
        <f>IF(L6=1,"ePCR-"&amp;TEXT(COUNTIF($L$3:L6, "1"), "0"), "")</f>
        <v>ePCR-4</v>
      </c>
      <c r="B6" s="183" t="s">
        <v>43</v>
      </c>
      <c r="C6" s="134" t="s">
        <v>633</v>
      </c>
      <c r="D6" s="138"/>
      <c r="E6" s="326"/>
      <c r="F6" s="166">
        <v>1</v>
      </c>
      <c r="G6" s="137" t="s">
        <v>101</v>
      </c>
      <c r="H6" s="131">
        <f>COUNTIF(G:G,"=Exception")</f>
        <v>0</v>
      </c>
      <c r="I6" s="116">
        <f t="shared" si="0"/>
        <v>1</v>
      </c>
      <c r="J6" s="116">
        <f t="shared" si="1"/>
        <v>0</v>
      </c>
      <c r="K6" s="116">
        <f t="shared" si="2"/>
        <v>0</v>
      </c>
      <c r="L6" s="115">
        <v>1</v>
      </c>
      <c r="O6" s="859"/>
      <c r="P6" s="859"/>
      <c r="Q6" s="859"/>
    </row>
    <row r="7" spans="1:17" ht="63" thickBot="1" x14ac:dyDescent="0.35">
      <c r="A7" s="373" t="str">
        <f>IF(L7=1,"ePCR-"&amp;TEXT(COUNTIF($L$3:L7, "1"), "0"), "")</f>
        <v>ePCR-5</v>
      </c>
      <c r="B7" s="133" t="s">
        <v>43</v>
      </c>
      <c r="C7" s="134" t="s">
        <v>634</v>
      </c>
      <c r="D7" s="138"/>
      <c r="E7" s="326"/>
      <c r="F7" s="166">
        <v>1</v>
      </c>
      <c r="G7" s="137" t="s">
        <v>101</v>
      </c>
      <c r="H7" s="140">
        <f>COUNTIFS(B:B,"=Critical",G:G,"=Select from Drop Down List")</f>
        <v>0</v>
      </c>
      <c r="I7" s="116">
        <f t="shared" si="0"/>
        <v>1</v>
      </c>
      <c r="J7" s="116">
        <f t="shared" si="1"/>
        <v>0</v>
      </c>
      <c r="K7" s="116">
        <f t="shared" si="2"/>
        <v>0</v>
      </c>
      <c r="L7" s="115">
        <v>1</v>
      </c>
      <c r="O7" s="859"/>
      <c r="P7" s="859"/>
      <c r="Q7" s="859"/>
    </row>
    <row r="8" spans="1:17" ht="30" customHeight="1" x14ac:dyDescent="0.3">
      <c r="A8" s="373" t="str">
        <f>IF(L8=1,"ePCR-"&amp;TEXT(COUNTIF($L$3:L8, "1"), "0"), "")</f>
        <v>ePCR-6</v>
      </c>
      <c r="B8" s="133" t="s">
        <v>43</v>
      </c>
      <c r="C8" s="154" t="s">
        <v>635</v>
      </c>
      <c r="D8" s="138"/>
      <c r="E8" s="326"/>
      <c r="F8" s="166">
        <v>1</v>
      </c>
      <c r="G8" s="137" t="s">
        <v>101</v>
      </c>
      <c r="H8" s="140">
        <f>COUNTIFS(B:B,"=Critical",G:G,"=Function Available")</f>
        <v>0</v>
      </c>
      <c r="I8" s="116">
        <f t="shared" si="0"/>
        <v>1</v>
      </c>
      <c r="J8" s="116">
        <f t="shared" si="1"/>
        <v>0</v>
      </c>
      <c r="K8" s="116">
        <f t="shared" si="2"/>
        <v>0</v>
      </c>
      <c r="L8" s="115">
        <v>1</v>
      </c>
    </row>
    <row r="9" spans="1:17" ht="30" customHeight="1" x14ac:dyDescent="0.3">
      <c r="A9" s="373" t="str">
        <f>IF(L9=1,"ePCR-"&amp;TEXT(COUNTIF($L$3:L9, "1"), "0"), "")</f>
        <v>ePCR-7</v>
      </c>
      <c r="B9" s="133" t="s">
        <v>43</v>
      </c>
      <c r="C9" s="441" t="s">
        <v>636</v>
      </c>
      <c r="D9" s="378"/>
      <c r="E9" s="327"/>
      <c r="F9" s="173">
        <v>1</v>
      </c>
      <c r="G9" s="137" t="s">
        <v>101</v>
      </c>
      <c r="H9" s="140">
        <f>COUNTIFS(B:B,"=Critical",G:G,"=Function Not Available")</f>
        <v>0</v>
      </c>
      <c r="I9" s="116">
        <f t="shared" si="0"/>
        <v>1</v>
      </c>
      <c r="J9" s="116">
        <f t="shared" si="1"/>
        <v>0</v>
      </c>
      <c r="K9" s="116">
        <f t="shared" si="2"/>
        <v>0</v>
      </c>
      <c r="L9" s="115">
        <v>1</v>
      </c>
    </row>
    <row r="10" spans="1:17" ht="30" customHeight="1" x14ac:dyDescent="0.3">
      <c r="A10" s="373" t="str">
        <f>IF(L10=1,"ePCR-"&amp;TEXT(COUNTIF($L$3:L10, "1"), "0"), "")</f>
        <v>ePCR-8</v>
      </c>
      <c r="B10" s="133" t="s">
        <v>43</v>
      </c>
      <c r="C10" s="379" t="s">
        <v>637</v>
      </c>
      <c r="D10" s="380"/>
      <c r="E10" s="326"/>
      <c r="F10" s="137">
        <v>1</v>
      </c>
      <c r="G10" s="240" t="s">
        <v>101</v>
      </c>
      <c r="H10" s="140">
        <f>COUNTIFS(B:B,"=Critical",G:G,"=Exception")</f>
        <v>0</v>
      </c>
      <c r="I10" s="116">
        <f t="shared" si="0"/>
        <v>1</v>
      </c>
      <c r="J10" s="116">
        <f t="shared" si="1"/>
        <v>0</v>
      </c>
      <c r="K10" s="116">
        <f t="shared" si="2"/>
        <v>0</v>
      </c>
      <c r="L10" s="115">
        <v>1</v>
      </c>
    </row>
    <row r="11" spans="1:17" ht="30" customHeight="1" x14ac:dyDescent="0.3">
      <c r="A11" s="373" t="str">
        <f>IF(L11=1,"ePCR-"&amp;TEXT(COUNTIF($L$3:L11, "1"), "0"), "")</f>
        <v>ePCR-9</v>
      </c>
      <c r="B11" s="133" t="s">
        <v>43</v>
      </c>
      <c r="C11" s="379" t="s">
        <v>638</v>
      </c>
      <c r="D11" s="380"/>
      <c r="E11" s="326"/>
      <c r="F11" s="137">
        <v>1</v>
      </c>
      <c r="G11" s="240" t="s">
        <v>101</v>
      </c>
      <c r="H11" s="146">
        <f>COUNTIFS(B:B,"=Important",G:G,"=Select from Drop Down List")</f>
        <v>52</v>
      </c>
      <c r="I11" s="116">
        <f t="shared" si="0"/>
        <v>1</v>
      </c>
      <c r="J11" s="116">
        <f t="shared" si="1"/>
        <v>0</v>
      </c>
      <c r="K11" s="116">
        <f t="shared" si="2"/>
        <v>0</v>
      </c>
      <c r="L11" s="115">
        <v>1</v>
      </c>
    </row>
    <row r="12" spans="1:17" ht="30" customHeight="1" x14ac:dyDescent="0.3">
      <c r="A12" s="373" t="str">
        <f>IF(L12=1,"ePCR-"&amp;TEXT(COUNTIF($L$3:L12, "1"), "0"), "")</f>
        <v>ePCR-10</v>
      </c>
      <c r="B12" s="133" t="s">
        <v>43</v>
      </c>
      <c r="C12" s="379" t="s">
        <v>639</v>
      </c>
      <c r="D12" s="380"/>
      <c r="E12" s="326"/>
      <c r="F12" s="137">
        <v>1</v>
      </c>
      <c r="G12" s="240" t="s">
        <v>101</v>
      </c>
      <c r="H12" s="146">
        <f>COUNTIFS(B:B,"=Important",G:G,"=Function Available")</f>
        <v>0</v>
      </c>
      <c r="I12" s="116">
        <f t="shared" si="0"/>
        <v>1</v>
      </c>
      <c r="J12" s="116">
        <f t="shared" si="1"/>
        <v>0</v>
      </c>
      <c r="K12" s="116">
        <f t="shared" si="2"/>
        <v>0</v>
      </c>
      <c r="L12" s="115">
        <v>1</v>
      </c>
    </row>
    <row r="13" spans="1:17" ht="30" customHeight="1" x14ac:dyDescent="0.3">
      <c r="A13" s="373" t="str">
        <f>IF(L13=1,"ePCR-"&amp;TEXT(COUNTIF($L$3:L13, "1"), "0"), "")</f>
        <v>ePCR-11</v>
      </c>
      <c r="B13" s="133" t="s">
        <v>43</v>
      </c>
      <c r="C13" s="379" t="s">
        <v>640</v>
      </c>
      <c r="D13" s="380"/>
      <c r="E13" s="326"/>
      <c r="F13" s="137">
        <v>1</v>
      </c>
      <c r="G13" s="240" t="s">
        <v>101</v>
      </c>
      <c r="H13" s="146">
        <f>COUNTIFS(B:B,"=Important",G:G,"=Function Not Available")</f>
        <v>0</v>
      </c>
      <c r="I13" s="116">
        <f t="shared" si="0"/>
        <v>1</v>
      </c>
      <c r="J13" s="116">
        <f t="shared" si="1"/>
        <v>0</v>
      </c>
      <c r="K13" s="116">
        <f t="shared" si="2"/>
        <v>0</v>
      </c>
      <c r="L13" s="115">
        <v>1</v>
      </c>
    </row>
    <row r="14" spans="1:17" ht="30" customHeight="1" x14ac:dyDescent="0.3">
      <c r="A14" s="373" t="str">
        <f>IF(L14=1,"ePCR-"&amp;TEXT(COUNTIF($L$3:L14, "1"), "0"), "")</f>
        <v>ePCR-12</v>
      </c>
      <c r="B14" s="133" t="s">
        <v>43</v>
      </c>
      <c r="C14" s="379" t="s">
        <v>641</v>
      </c>
      <c r="D14" s="380"/>
      <c r="E14" s="326"/>
      <c r="F14" s="137">
        <v>1</v>
      </c>
      <c r="G14" s="240" t="s">
        <v>101</v>
      </c>
      <c r="H14" s="146">
        <f>COUNTIFS(B:B,"=Important",G:G,"=Exception")</f>
        <v>0</v>
      </c>
      <c r="I14" s="116">
        <f t="shared" si="0"/>
        <v>1</v>
      </c>
      <c r="J14" s="116">
        <f t="shared" si="1"/>
        <v>0</v>
      </c>
      <c r="K14" s="116">
        <f t="shared" si="2"/>
        <v>0</v>
      </c>
      <c r="L14" s="115">
        <v>1</v>
      </c>
    </row>
    <row r="15" spans="1:17" ht="30" customHeight="1" x14ac:dyDescent="0.3">
      <c r="A15" s="373" t="str">
        <f>IF(L15=1,"ePCR-"&amp;TEXT(COUNTIF($L$3:L15, "1"), "0"), "")</f>
        <v>ePCR-13</v>
      </c>
      <c r="B15" s="183" t="s">
        <v>43</v>
      </c>
      <c r="C15" s="442" t="s">
        <v>642</v>
      </c>
      <c r="D15" s="382"/>
      <c r="E15" s="328"/>
      <c r="F15" s="191">
        <v>1</v>
      </c>
      <c r="G15" s="137" t="s">
        <v>101</v>
      </c>
      <c r="H15" s="147">
        <f>COUNTIFS(B:B,"=Informational",G:G,"=Select from Drop Down List")</f>
        <v>2</v>
      </c>
      <c r="I15" s="116">
        <f t="shared" si="0"/>
        <v>1</v>
      </c>
      <c r="J15" s="116">
        <f t="shared" si="1"/>
        <v>0</v>
      </c>
      <c r="K15" s="116">
        <f t="shared" si="2"/>
        <v>0</v>
      </c>
      <c r="L15" s="115">
        <v>1</v>
      </c>
    </row>
    <row r="16" spans="1:17" ht="30" customHeight="1" x14ac:dyDescent="0.3">
      <c r="A16" s="373" t="str">
        <f>IF(L16=1,"ePCR-"&amp;TEXT(COUNTIF($L$3:L16, "1"), "0"), "")</f>
        <v>ePCR-14</v>
      </c>
      <c r="B16" s="183" t="s">
        <v>43</v>
      </c>
      <c r="C16" s="379" t="s">
        <v>643</v>
      </c>
      <c r="D16" s="380"/>
      <c r="E16" s="326"/>
      <c r="F16" s="166">
        <v>1</v>
      </c>
      <c r="G16" s="137" t="s">
        <v>101</v>
      </c>
      <c r="H16" s="147">
        <f>COUNTIFS(B:B,"=Informational",G:G,"=Function Available")</f>
        <v>0</v>
      </c>
      <c r="I16" s="116">
        <f t="shared" si="0"/>
        <v>1</v>
      </c>
      <c r="J16" s="116">
        <f t="shared" si="1"/>
        <v>0</v>
      </c>
      <c r="K16" s="116">
        <f t="shared" si="2"/>
        <v>0</v>
      </c>
      <c r="L16" s="115">
        <v>1</v>
      </c>
    </row>
    <row r="17" spans="1:12" ht="30" customHeight="1" x14ac:dyDescent="0.3">
      <c r="A17" s="373" t="str">
        <f>IF(L17=1,"ePCR-"&amp;TEXT(COUNTIF($L$3:L17, "1"), "0"), "")</f>
        <v>ePCR-15</v>
      </c>
      <c r="B17" s="183" t="s">
        <v>43</v>
      </c>
      <c r="C17" s="379" t="s">
        <v>644</v>
      </c>
      <c r="D17" s="380"/>
      <c r="E17" s="326"/>
      <c r="F17" s="166">
        <v>1</v>
      </c>
      <c r="G17" s="137" t="s">
        <v>101</v>
      </c>
      <c r="H17" s="147">
        <f>COUNTIFS(B:B,"=Informational",G:G,"=Function Not Available")</f>
        <v>0</v>
      </c>
      <c r="I17" s="116">
        <f t="shared" si="0"/>
        <v>1</v>
      </c>
      <c r="J17" s="116">
        <f t="shared" si="1"/>
        <v>0</v>
      </c>
      <c r="K17" s="116">
        <f t="shared" si="2"/>
        <v>0</v>
      </c>
      <c r="L17" s="115">
        <v>1</v>
      </c>
    </row>
    <row r="18" spans="1:12" ht="30" customHeight="1" x14ac:dyDescent="0.3">
      <c r="A18" s="373" t="str">
        <f>IF(L18=1,"ePCR-"&amp;TEXT(COUNTIF($L$3:L18, "1"), "0"), "")</f>
        <v>ePCR-16</v>
      </c>
      <c r="B18" s="183" t="s">
        <v>43</v>
      </c>
      <c r="C18" s="379" t="s">
        <v>645</v>
      </c>
      <c r="D18" s="380"/>
      <c r="E18" s="326"/>
      <c r="F18" s="166">
        <v>1</v>
      </c>
      <c r="G18" s="137" t="s">
        <v>101</v>
      </c>
      <c r="H18" s="147">
        <f>COUNTIFS(B:B,"=Informational",G:G,"=Exception")</f>
        <v>0</v>
      </c>
      <c r="I18" s="116">
        <f t="shared" si="0"/>
        <v>1</v>
      </c>
      <c r="J18" s="116">
        <f t="shared" si="1"/>
        <v>0</v>
      </c>
      <c r="K18" s="116">
        <f t="shared" si="2"/>
        <v>0</v>
      </c>
      <c r="L18" s="115">
        <v>1</v>
      </c>
    </row>
    <row r="19" spans="1:12" ht="30" customHeight="1" x14ac:dyDescent="0.3">
      <c r="A19" s="373" t="str">
        <f>IF(L19=1,"ePCR-"&amp;TEXT(COUNTIF($L$3:L19, "1"), "0"), "")</f>
        <v>ePCR-17</v>
      </c>
      <c r="B19" s="183" t="s">
        <v>43</v>
      </c>
      <c r="C19" s="379" t="s">
        <v>646</v>
      </c>
      <c r="D19" s="380"/>
      <c r="E19" s="326"/>
      <c r="F19" s="166">
        <v>1</v>
      </c>
      <c r="G19" s="137" t="s">
        <v>101</v>
      </c>
      <c r="I19" s="116">
        <f t="shared" si="0"/>
        <v>1</v>
      </c>
      <c r="J19" s="116">
        <f t="shared" si="1"/>
        <v>0</v>
      </c>
      <c r="K19" s="116">
        <f t="shared" si="2"/>
        <v>0</v>
      </c>
      <c r="L19" s="115">
        <v>1</v>
      </c>
    </row>
    <row r="20" spans="1:12" ht="30" customHeight="1" x14ac:dyDescent="0.3">
      <c r="A20" s="373" t="str">
        <f>IF(L20=1,"ePCR-"&amp;TEXT(COUNTIF($L$3:L20, "1"), "0"), "")</f>
        <v>ePCR-18</v>
      </c>
      <c r="B20" s="183" t="s">
        <v>43</v>
      </c>
      <c r="C20" s="379" t="s">
        <v>647</v>
      </c>
      <c r="D20" s="380"/>
      <c r="E20" s="326"/>
      <c r="F20" s="166">
        <v>1</v>
      </c>
      <c r="G20" s="137" t="s">
        <v>101</v>
      </c>
      <c r="I20" s="116">
        <f t="shared" si="0"/>
        <v>1</v>
      </c>
      <c r="J20" s="116">
        <f t="shared" si="1"/>
        <v>0</v>
      </c>
      <c r="K20" s="116">
        <f t="shared" si="2"/>
        <v>0</v>
      </c>
      <c r="L20" s="115">
        <v>1</v>
      </c>
    </row>
    <row r="21" spans="1:12" ht="30" customHeight="1" x14ac:dyDescent="0.3">
      <c r="A21" s="373" t="str">
        <f>IF(L21=1,"ePCR-"&amp;TEXT(COUNTIF($L$3:L21, "1"), "0"), "")</f>
        <v>ePCR-19</v>
      </c>
      <c r="B21" s="183" t="s">
        <v>43</v>
      </c>
      <c r="C21" s="379" t="s">
        <v>648</v>
      </c>
      <c r="D21" s="380"/>
      <c r="E21" s="326"/>
      <c r="F21" s="166">
        <v>1</v>
      </c>
      <c r="G21" s="137" t="s">
        <v>101</v>
      </c>
      <c r="I21" s="116">
        <f t="shared" si="0"/>
        <v>1</v>
      </c>
      <c r="J21" s="116">
        <f t="shared" si="1"/>
        <v>0</v>
      </c>
      <c r="K21" s="116">
        <f t="shared" si="2"/>
        <v>0</v>
      </c>
      <c r="L21" s="115">
        <v>1</v>
      </c>
    </row>
    <row r="22" spans="1:12" ht="30" customHeight="1" x14ac:dyDescent="0.3">
      <c r="A22" s="373" t="str">
        <f>IF(L22=1,"ePCR-"&amp;TEXT(COUNTIF($L$3:L22, "1"), "0"), "")</f>
        <v>ePCR-20</v>
      </c>
      <c r="B22" s="183" t="s">
        <v>43</v>
      </c>
      <c r="C22" s="379" t="s">
        <v>649</v>
      </c>
      <c r="D22" s="380"/>
      <c r="E22" s="326"/>
      <c r="F22" s="166">
        <v>1</v>
      </c>
      <c r="G22" s="137" t="s">
        <v>101</v>
      </c>
      <c r="I22" s="116">
        <f t="shared" si="0"/>
        <v>1</v>
      </c>
      <c r="J22" s="116">
        <f t="shared" si="1"/>
        <v>0</v>
      </c>
      <c r="K22" s="116">
        <f t="shared" si="2"/>
        <v>0</v>
      </c>
      <c r="L22" s="115">
        <v>1</v>
      </c>
    </row>
    <row r="23" spans="1:12" ht="30" customHeight="1" x14ac:dyDescent="0.3">
      <c r="A23" s="373" t="str">
        <f>IF(L23=1,"ePCR-"&amp;TEXT(COUNTIF($L$3:L23, "1"), "0"), "")</f>
        <v>ePCR-21</v>
      </c>
      <c r="B23" s="183" t="s">
        <v>43</v>
      </c>
      <c r="C23" s="379" t="s">
        <v>650</v>
      </c>
      <c r="D23" s="380"/>
      <c r="E23" s="326"/>
      <c r="F23" s="166">
        <v>1</v>
      </c>
      <c r="G23" s="137" t="s">
        <v>101</v>
      </c>
      <c r="I23" s="116">
        <f t="shared" si="0"/>
        <v>1</v>
      </c>
      <c r="J23" s="116">
        <f t="shared" si="1"/>
        <v>0</v>
      </c>
      <c r="K23" s="116">
        <f t="shared" si="2"/>
        <v>0</v>
      </c>
      <c r="L23" s="115">
        <v>1</v>
      </c>
    </row>
    <row r="24" spans="1:12" ht="30" customHeight="1" x14ac:dyDescent="0.3">
      <c r="A24" s="373" t="str">
        <f>IF(L24=1,"ePCR-"&amp;TEXT(COUNTIF($L$3:L24, "1"), "0"), "")</f>
        <v>ePCR-22</v>
      </c>
      <c r="B24" s="183" t="s">
        <v>43</v>
      </c>
      <c r="C24" s="379" t="s">
        <v>651</v>
      </c>
      <c r="D24" s="380"/>
      <c r="E24" s="326"/>
      <c r="F24" s="166">
        <v>1</v>
      </c>
      <c r="G24" s="137" t="s">
        <v>101</v>
      </c>
      <c r="I24" s="116">
        <f t="shared" si="0"/>
        <v>1</v>
      </c>
      <c r="J24" s="116">
        <f t="shared" si="1"/>
        <v>0</v>
      </c>
      <c r="K24" s="116">
        <f t="shared" si="2"/>
        <v>0</v>
      </c>
      <c r="L24" s="115">
        <v>1</v>
      </c>
    </row>
    <row r="25" spans="1:12" ht="30" customHeight="1" x14ac:dyDescent="0.3">
      <c r="A25" s="373" t="str">
        <f>IF(L25=1,"ePCR-"&amp;TEXT(COUNTIF($L$3:L25, "1"), "0"), "")</f>
        <v>ePCR-23</v>
      </c>
      <c r="B25" s="183" t="s">
        <v>43</v>
      </c>
      <c r="C25" s="379" t="s">
        <v>652</v>
      </c>
      <c r="D25" s="380"/>
      <c r="E25" s="390"/>
      <c r="F25" s="166">
        <v>1</v>
      </c>
      <c r="G25" s="137" t="s">
        <v>101</v>
      </c>
      <c r="I25" s="116">
        <f t="shared" si="0"/>
        <v>1</v>
      </c>
      <c r="J25" s="116">
        <f t="shared" si="1"/>
        <v>0</v>
      </c>
      <c r="K25" s="116">
        <f t="shared" si="2"/>
        <v>0</v>
      </c>
      <c r="L25" s="115">
        <v>1</v>
      </c>
    </row>
    <row r="26" spans="1:12" ht="46.8" x14ac:dyDescent="0.3">
      <c r="A26" s="373" t="str">
        <f>IF(L26=1,"ePCR-"&amp;TEXT(COUNTIF($L$3:L26, "1"), "0"), "")</f>
        <v>ePCR-24</v>
      </c>
      <c r="B26" s="183" t="s">
        <v>43</v>
      </c>
      <c r="C26" s="389" t="s">
        <v>653</v>
      </c>
      <c r="D26" s="380"/>
      <c r="E26" s="390"/>
      <c r="F26" s="166">
        <v>1</v>
      </c>
      <c r="G26" s="137" t="s">
        <v>101</v>
      </c>
      <c r="I26" s="116">
        <f t="shared" si="0"/>
        <v>1</v>
      </c>
      <c r="J26" s="116">
        <f t="shared" si="1"/>
        <v>0</v>
      </c>
      <c r="K26" s="116">
        <f t="shared" si="2"/>
        <v>0</v>
      </c>
      <c r="L26" s="115">
        <v>1</v>
      </c>
    </row>
    <row r="27" spans="1:12" ht="46.8" x14ac:dyDescent="0.3">
      <c r="A27" s="373" t="str">
        <f>IF(L27=1,"ePCR-"&amp;TEXT(COUNTIF($L$3:L27, "1"), "0"), "")</f>
        <v>ePCR-25</v>
      </c>
      <c r="B27" s="260" t="s">
        <v>43</v>
      </c>
      <c r="C27" s="383" t="s">
        <v>654</v>
      </c>
      <c r="D27" s="384"/>
      <c r="E27" s="443"/>
      <c r="F27" s="173">
        <v>1</v>
      </c>
      <c r="G27" s="137" t="s">
        <v>101</v>
      </c>
      <c r="I27" s="116">
        <f t="shared" si="0"/>
        <v>1</v>
      </c>
      <c r="J27" s="116">
        <f t="shared" si="1"/>
        <v>0</v>
      </c>
      <c r="K27" s="116">
        <f t="shared" si="2"/>
        <v>0</v>
      </c>
      <c r="L27" s="115">
        <v>1</v>
      </c>
    </row>
    <row r="28" spans="1:12" ht="30" customHeight="1" x14ac:dyDescent="0.3">
      <c r="A28" s="376"/>
      <c r="B28" s="126"/>
      <c r="C28" s="444" t="s">
        <v>655</v>
      </c>
      <c r="D28" s="386"/>
      <c r="E28" s="130"/>
      <c r="F28" s="181"/>
      <c r="G28" s="848"/>
    </row>
    <row r="29" spans="1:12" ht="30" customHeight="1" x14ac:dyDescent="0.3">
      <c r="A29" s="373" t="str">
        <f>IF(L29=1,"ePCR-"&amp;TEXT(COUNTIF($L$3:L29, "1"), "0"), "")</f>
        <v>ePCR-26</v>
      </c>
      <c r="B29" s="133" t="s">
        <v>43</v>
      </c>
      <c r="C29" s="154" t="s">
        <v>656</v>
      </c>
      <c r="D29" s="380"/>
      <c r="E29" s="326"/>
      <c r="F29" s="191">
        <v>1</v>
      </c>
      <c r="G29" s="187" t="s">
        <v>101</v>
      </c>
      <c r="I29" s="116">
        <f>IF(NOT(ISBLANK($B29)),VLOOKUP($B29,specdata,2,FALSE()),"")</f>
        <v>1</v>
      </c>
      <c r="J29" s="116">
        <f>VLOOKUP(G29,AvailabilityData,2,FALSE())</f>
        <v>0</v>
      </c>
      <c r="K29" s="116">
        <f>I29*J29</f>
        <v>0</v>
      </c>
      <c r="L29" s="115">
        <v>1</v>
      </c>
    </row>
    <row r="30" spans="1:12" ht="30" customHeight="1" x14ac:dyDescent="0.3">
      <c r="A30" s="373" t="str">
        <f>IF(L30=1,"ePCR-"&amp;TEXT(COUNTIF($L$3:L30, "1"), "0"), "")</f>
        <v>ePCR-27</v>
      </c>
      <c r="B30" s="133" t="s">
        <v>43</v>
      </c>
      <c r="C30" s="379" t="s">
        <v>657</v>
      </c>
      <c r="D30" s="380"/>
      <c r="E30" s="326"/>
      <c r="F30" s="191">
        <v>1</v>
      </c>
      <c r="G30" s="187" t="s">
        <v>101</v>
      </c>
      <c r="I30" s="116">
        <f>IF(NOT(ISBLANK($B30)),VLOOKUP($B30,specdata,2,FALSE()),"")</f>
        <v>1</v>
      </c>
      <c r="J30" s="116">
        <f>VLOOKUP(G30,AvailabilityData,2,FALSE())</f>
        <v>0</v>
      </c>
      <c r="K30" s="116">
        <f>I30*J30</f>
        <v>0</v>
      </c>
      <c r="L30" s="115">
        <v>1</v>
      </c>
    </row>
    <row r="31" spans="1:12" ht="30" customHeight="1" x14ac:dyDescent="0.3">
      <c r="A31" s="373" t="str">
        <f>IF(L31=1,"ePCR-"&amp;TEXT(COUNTIF($L$3:L31, "1"), "0"), "")</f>
        <v>ePCR-28</v>
      </c>
      <c r="B31" s="133" t="s">
        <v>43</v>
      </c>
      <c r="C31" s="379" t="s">
        <v>658</v>
      </c>
      <c r="D31" s="380"/>
      <c r="E31" s="326"/>
      <c r="F31" s="173">
        <v>1</v>
      </c>
      <c r="G31" s="137" t="s">
        <v>101</v>
      </c>
      <c r="I31" s="116">
        <f>IF(NOT(ISBLANK($B31)),VLOOKUP($B31,specdata,2,FALSE()),"")</f>
        <v>1</v>
      </c>
      <c r="J31" s="116">
        <f>VLOOKUP(G31,AvailabilityData,2,FALSE())</f>
        <v>0</v>
      </c>
      <c r="K31" s="116">
        <f>I31*J31</f>
        <v>0</v>
      </c>
      <c r="L31" s="115">
        <v>1</v>
      </c>
    </row>
    <row r="32" spans="1:12" ht="30" customHeight="1" x14ac:dyDescent="0.3">
      <c r="A32" s="376"/>
      <c r="B32" s="126"/>
      <c r="C32" s="444" t="s">
        <v>659</v>
      </c>
      <c r="D32" s="386"/>
      <c r="E32" s="130"/>
      <c r="F32" s="181"/>
      <c r="G32" s="848"/>
    </row>
    <row r="33" spans="1:12" ht="30" customHeight="1" x14ac:dyDescent="0.3">
      <c r="A33" s="373" t="str">
        <f>IF(L33=1,"ePCR-"&amp;TEXT(COUNTIF($L$3:L33, "1"), "0"), "")</f>
        <v>ePCR-29</v>
      </c>
      <c r="B33" s="183" t="s">
        <v>43</v>
      </c>
      <c r="C33" s="442" t="s">
        <v>660</v>
      </c>
      <c r="D33" s="382"/>
      <c r="E33" s="328"/>
      <c r="F33" s="191">
        <v>1</v>
      </c>
      <c r="G33" s="187" t="s">
        <v>101</v>
      </c>
      <c r="I33" s="116">
        <f t="shared" ref="I33:I45" si="5">IF(NOT(ISBLANK($B33)),VLOOKUP($B33,specdata,2,FALSE()),"")</f>
        <v>1</v>
      </c>
      <c r="J33" s="116">
        <f t="shared" ref="J33:J45" si="6">VLOOKUP(G33,AvailabilityData,2,FALSE())</f>
        <v>0</v>
      </c>
      <c r="K33" s="116">
        <f t="shared" ref="K33:K45" si="7">I33*J33</f>
        <v>0</v>
      </c>
      <c r="L33" s="115">
        <v>1</v>
      </c>
    </row>
    <row r="34" spans="1:12" ht="30" customHeight="1" x14ac:dyDescent="0.3">
      <c r="A34" s="373" t="str">
        <f>IF(L34=1,"ePCR-"&amp;TEXT(COUNTIF($L$3:L34, "1"), "0"), "")</f>
        <v>ePCR-30</v>
      </c>
      <c r="B34" s="183" t="s">
        <v>43</v>
      </c>
      <c r="C34" s="379" t="s">
        <v>661</v>
      </c>
      <c r="D34" s="380"/>
      <c r="E34" s="326"/>
      <c r="F34" s="166">
        <v>1</v>
      </c>
      <c r="G34" s="137" t="s">
        <v>101</v>
      </c>
      <c r="I34" s="116">
        <f t="shared" si="5"/>
        <v>1</v>
      </c>
      <c r="J34" s="116">
        <f t="shared" si="6"/>
        <v>0</v>
      </c>
      <c r="K34" s="116">
        <f t="shared" si="7"/>
        <v>0</v>
      </c>
      <c r="L34" s="115">
        <v>1</v>
      </c>
    </row>
    <row r="35" spans="1:12" ht="30" customHeight="1" x14ac:dyDescent="0.3">
      <c r="A35" s="373" t="str">
        <f>IF(L35=1,"ePCR-"&amp;TEXT(COUNTIF($L$3:L35, "1"), "0"), "")</f>
        <v>ePCR-31</v>
      </c>
      <c r="B35" s="183" t="s">
        <v>43</v>
      </c>
      <c r="C35" s="379" t="s">
        <v>662</v>
      </c>
      <c r="D35" s="380"/>
      <c r="E35" s="326"/>
      <c r="F35" s="166">
        <v>1</v>
      </c>
      <c r="G35" s="137" t="s">
        <v>101</v>
      </c>
      <c r="I35" s="116">
        <f t="shared" si="5"/>
        <v>1</v>
      </c>
      <c r="J35" s="116">
        <f t="shared" si="6"/>
        <v>0</v>
      </c>
      <c r="K35" s="116">
        <f t="shared" si="7"/>
        <v>0</v>
      </c>
      <c r="L35" s="115">
        <v>1</v>
      </c>
    </row>
    <row r="36" spans="1:12" ht="30" customHeight="1" x14ac:dyDescent="0.3">
      <c r="A36" s="373" t="str">
        <f>IF(L36=1,"ePCR-"&amp;TEXT(COUNTIF($L$3:L36, "1"), "0"), "")</f>
        <v>ePCR-32</v>
      </c>
      <c r="B36" s="183" t="s">
        <v>43</v>
      </c>
      <c r="C36" s="379" t="s">
        <v>663</v>
      </c>
      <c r="D36" s="380"/>
      <c r="E36" s="326"/>
      <c r="F36" s="166">
        <v>1</v>
      </c>
      <c r="G36" s="137" t="s">
        <v>101</v>
      </c>
      <c r="I36" s="116">
        <f t="shared" si="5"/>
        <v>1</v>
      </c>
      <c r="J36" s="116">
        <f t="shared" si="6"/>
        <v>0</v>
      </c>
      <c r="K36" s="116">
        <f t="shared" si="7"/>
        <v>0</v>
      </c>
      <c r="L36" s="115">
        <v>1</v>
      </c>
    </row>
    <row r="37" spans="1:12" ht="30" customHeight="1" x14ac:dyDescent="0.3">
      <c r="A37" s="373" t="str">
        <f>IF(L37=1,"ePCR-"&amp;TEXT(COUNTIF($L$3:L37, "1"), "0"), "")</f>
        <v>ePCR-33</v>
      </c>
      <c r="B37" s="183" t="s">
        <v>43</v>
      </c>
      <c r="C37" s="379" t="s">
        <v>660</v>
      </c>
      <c r="D37" s="380"/>
      <c r="E37" s="326"/>
      <c r="F37" s="166">
        <v>1</v>
      </c>
      <c r="G37" s="137" t="s">
        <v>101</v>
      </c>
      <c r="I37" s="116">
        <f t="shared" si="5"/>
        <v>1</v>
      </c>
      <c r="J37" s="116">
        <f t="shared" si="6"/>
        <v>0</v>
      </c>
      <c r="K37" s="116">
        <f t="shared" si="7"/>
        <v>0</v>
      </c>
      <c r="L37" s="115">
        <v>1</v>
      </c>
    </row>
    <row r="38" spans="1:12" ht="30" customHeight="1" x14ac:dyDescent="0.3">
      <c r="A38" s="373" t="str">
        <f>IF(L38=1,"ePCR-"&amp;TEXT(COUNTIF($L$3:L38, "1"), "0"), "")</f>
        <v>ePCR-34</v>
      </c>
      <c r="B38" s="183" t="s">
        <v>43</v>
      </c>
      <c r="C38" s="379" t="s">
        <v>664</v>
      </c>
      <c r="D38" s="380"/>
      <c r="E38" s="326"/>
      <c r="F38" s="166">
        <v>1</v>
      </c>
      <c r="G38" s="137" t="s">
        <v>101</v>
      </c>
      <c r="I38" s="116">
        <f t="shared" si="5"/>
        <v>1</v>
      </c>
      <c r="J38" s="116">
        <f t="shared" si="6"/>
        <v>0</v>
      </c>
      <c r="K38" s="116">
        <f t="shared" si="7"/>
        <v>0</v>
      </c>
      <c r="L38" s="115">
        <v>1</v>
      </c>
    </row>
    <row r="39" spans="1:12" ht="30" customHeight="1" x14ac:dyDescent="0.3">
      <c r="A39" s="373" t="str">
        <f>IF(L39=1,"ePCR-"&amp;TEXT(COUNTIF($L$3:L39, "1"), "0"), "")</f>
        <v>ePCR-35</v>
      </c>
      <c r="B39" s="183" t="s">
        <v>43</v>
      </c>
      <c r="C39" s="379" t="s">
        <v>665</v>
      </c>
      <c r="D39" s="380"/>
      <c r="E39" s="326"/>
      <c r="F39" s="166">
        <v>1</v>
      </c>
      <c r="G39" s="137" t="s">
        <v>101</v>
      </c>
      <c r="I39" s="116">
        <f t="shared" si="5"/>
        <v>1</v>
      </c>
      <c r="J39" s="116">
        <f t="shared" si="6"/>
        <v>0</v>
      </c>
      <c r="K39" s="116">
        <f t="shared" si="7"/>
        <v>0</v>
      </c>
      <c r="L39" s="115">
        <v>1</v>
      </c>
    </row>
    <row r="40" spans="1:12" ht="30" customHeight="1" x14ac:dyDescent="0.3">
      <c r="A40" s="373" t="str">
        <f>IF(L40=1,"ePCR-"&amp;TEXT(COUNTIF($L$3:L40, "1"), "0"), "")</f>
        <v>ePCR-36</v>
      </c>
      <c r="B40" s="183" t="s">
        <v>43</v>
      </c>
      <c r="C40" s="379" t="s">
        <v>661</v>
      </c>
      <c r="D40" s="380"/>
      <c r="E40" s="326"/>
      <c r="F40" s="166">
        <v>1</v>
      </c>
      <c r="G40" s="137" t="s">
        <v>101</v>
      </c>
      <c r="I40" s="116">
        <f t="shared" si="5"/>
        <v>1</v>
      </c>
      <c r="J40" s="116">
        <f t="shared" si="6"/>
        <v>0</v>
      </c>
      <c r="K40" s="116">
        <f t="shared" si="7"/>
        <v>0</v>
      </c>
      <c r="L40" s="115">
        <v>1</v>
      </c>
    </row>
    <row r="41" spans="1:12" ht="30" customHeight="1" x14ac:dyDescent="0.3">
      <c r="A41" s="373" t="str">
        <f>IF(L41=1,"ePCR-"&amp;TEXT(COUNTIF($L$3:L41, "1"), "0"), "")</f>
        <v>ePCR-37</v>
      </c>
      <c r="B41" s="183" t="s">
        <v>43</v>
      </c>
      <c r="C41" s="379" t="s">
        <v>662</v>
      </c>
      <c r="D41" s="380"/>
      <c r="E41" s="326"/>
      <c r="F41" s="166">
        <v>1</v>
      </c>
      <c r="G41" s="137" t="s">
        <v>101</v>
      </c>
      <c r="I41" s="116">
        <f t="shared" si="5"/>
        <v>1</v>
      </c>
      <c r="J41" s="116">
        <f t="shared" si="6"/>
        <v>0</v>
      </c>
      <c r="K41" s="116">
        <f t="shared" si="7"/>
        <v>0</v>
      </c>
      <c r="L41" s="115">
        <v>1</v>
      </c>
    </row>
    <row r="42" spans="1:12" ht="30" customHeight="1" x14ac:dyDescent="0.3">
      <c r="A42" s="373" t="str">
        <f>IF(L42=1,"ePCR-"&amp;TEXT(COUNTIF($L$3:L42, "1"), "0"), "")</f>
        <v>ePCR-38</v>
      </c>
      <c r="B42" s="183" t="s">
        <v>43</v>
      </c>
      <c r="C42" s="389" t="s">
        <v>666</v>
      </c>
      <c r="D42" s="380"/>
      <c r="E42" s="326"/>
      <c r="F42" s="166">
        <v>1</v>
      </c>
      <c r="G42" s="137" t="s">
        <v>101</v>
      </c>
      <c r="I42" s="116">
        <f t="shared" si="5"/>
        <v>1</v>
      </c>
      <c r="J42" s="116">
        <f t="shared" si="6"/>
        <v>0</v>
      </c>
      <c r="K42" s="116">
        <f t="shared" si="7"/>
        <v>0</v>
      </c>
      <c r="L42" s="115">
        <v>1</v>
      </c>
    </row>
    <row r="43" spans="1:12" ht="30" customHeight="1" x14ac:dyDescent="0.3">
      <c r="A43" s="373" t="str">
        <f>IF(L43=1,"ePCR-"&amp;TEXT(COUNTIF($L$3:L43, "1"), "0"), "")</f>
        <v>ePCR-39</v>
      </c>
      <c r="B43" s="183" t="s">
        <v>43</v>
      </c>
      <c r="C43" s="389" t="s">
        <v>667</v>
      </c>
      <c r="D43" s="380"/>
      <c r="E43" s="326"/>
      <c r="F43" s="166">
        <v>1</v>
      </c>
      <c r="G43" s="137" t="s">
        <v>101</v>
      </c>
      <c r="I43" s="116">
        <f t="shared" si="5"/>
        <v>1</v>
      </c>
      <c r="J43" s="116">
        <f t="shared" si="6"/>
        <v>0</v>
      </c>
      <c r="K43" s="116">
        <f t="shared" si="7"/>
        <v>0</v>
      </c>
      <c r="L43" s="115">
        <v>1</v>
      </c>
    </row>
    <row r="44" spans="1:12" ht="46.8" x14ac:dyDescent="0.3">
      <c r="A44" s="373" t="str">
        <f>IF(L44=1,"ePCR-"&amp;TEXT(COUNTIF($L$3:L44, "1"), "0"), "")</f>
        <v>ePCR-40</v>
      </c>
      <c r="B44" s="183" t="s">
        <v>43</v>
      </c>
      <c r="C44" s="389" t="s">
        <v>668</v>
      </c>
      <c r="D44" s="380"/>
      <c r="E44" s="326"/>
      <c r="F44" s="166">
        <v>1</v>
      </c>
      <c r="G44" s="137" t="s">
        <v>101</v>
      </c>
      <c r="I44" s="116">
        <f t="shared" si="5"/>
        <v>1</v>
      </c>
      <c r="J44" s="116">
        <f t="shared" si="6"/>
        <v>0</v>
      </c>
      <c r="K44" s="116">
        <f t="shared" si="7"/>
        <v>0</v>
      </c>
      <c r="L44" s="115">
        <v>1</v>
      </c>
    </row>
    <row r="45" spans="1:12" ht="30" customHeight="1" x14ac:dyDescent="0.3">
      <c r="A45" s="373" t="str">
        <f>IF(L45=1,"ePCR-"&amp;TEXT(COUNTIF($L$3:L45, "1"), "0"), "")</f>
        <v>ePCR-41</v>
      </c>
      <c r="B45" s="260" t="s">
        <v>43</v>
      </c>
      <c r="C45" s="383" t="s">
        <v>669</v>
      </c>
      <c r="D45" s="384"/>
      <c r="E45" s="327"/>
      <c r="F45" s="173">
        <v>1</v>
      </c>
      <c r="G45" s="137" t="s">
        <v>101</v>
      </c>
      <c r="I45" s="116">
        <f t="shared" si="5"/>
        <v>1</v>
      </c>
      <c r="J45" s="116">
        <f t="shared" si="6"/>
        <v>0</v>
      </c>
      <c r="K45" s="116">
        <f t="shared" si="7"/>
        <v>0</v>
      </c>
      <c r="L45" s="115">
        <v>1</v>
      </c>
    </row>
    <row r="46" spans="1:12" x14ac:dyDescent="0.3">
      <c r="A46" s="376"/>
      <c r="B46" s="126"/>
      <c r="C46" s="385" t="s">
        <v>168</v>
      </c>
      <c r="D46" s="386"/>
      <c r="E46" s="130"/>
      <c r="F46" s="181"/>
      <c r="G46" s="848"/>
    </row>
    <row r="47" spans="1:12" ht="30" customHeight="1" x14ac:dyDescent="0.3">
      <c r="A47" s="373" t="str">
        <f>IF(L47=1,"ePCR-"&amp;TEXT(COUNTIF($L$3:L47, "1"), "0"), "")</f>
        <v>ePCR-42</v>
      </c>
      <c r="B47" s="133" t="s">
        <v>43</v>
      </c>
      <c r="C47" s="389" t="s">
        <v>185</v>
      </c>
      <c r="D47" s="380"/>
      <c r="E47" s="326"/>
      <c r="F47" s="137">
        <v>1</v>
      </c>
      <c r="G47" s="187" t="s">
        <v>101</v>
      </c>
      <c r="I47" s="116">
        <f t="shared" ref="I47:I52" si="8">IF(NOT(ISBLANK($B47)),VLOOKUP($B47,specdata,2,FALSE()),"")</f>
        <v>1</v>
      </c>
      <c r="J47" s="116">
        <f t="shared" ref="J47:J52" si="9">VLOOKUP(G47,AvailabilityData,2,FALSE())</f>
        <v>0</v>
      </c>
      <c r="K47" s="116">
        <f t="shared" ref="K47:K52" si="10">I47*J47</f>
        <v>0</v>
      </c>
      <c r="L47" s="115">
        <v>1</v>
      </c>
    </row>
    <row r="48" spans="1:12" ht="30" customHeight="1" x14ac:dyDescent="0.3">
      <c r="A48" s="373" t="str">
        <f>IF(L48=1,"ePCR-"&amp;TEXT(COUNTIF($L$3:L48, "1"), "0"), "")</f>
        <v>ePCR-43</v>
      </c>
      <c r="B48" s="133" t="s">
        <v>43</v>
      </c>
      <c r="C48" s="154" t="s">
        <v>170</v>
      </c>
      <c r="D48" s="380"/>
      <c r="E48" s="326"/>
      <c r="F48" s="137">
        <v>1</v>
      </c>
      <c r="G48" s="137" t="s">
        <v>101</v>
      </c>
      <c r="I48" s="116">
        <f t="shared" si="8"/>
        <v>1</v>
      </c>
      <c r="J48" s="116">
        <f t="shared" si="9"/>
        <v>0</v>
      </c>
      <c r="K48" s="116">
        <f t="shared" si="10"/>
        <v>0</v>
      </c>
      <c r="L48" s="115">
        <v>1</v>
      </c>
    </row>
    <row r="49" spans="1:12" ht="30" customHeight="1" x14ac:dyDescent="0.3">
      <c r="A49" s="373" t="str">
        <f>IF(L49=1,"ePCR-"&amp;TEXT(COUNTIF($L$3:L49, "1"), "0"), "")</f>
        <v>ePCR-44</v>
      </c>
      <c r="B49" s="133" t="s">
        <v>43</v>
      </c>
      <c r="C49" s="154" t="s">
        <v>171</v>
      </c>
      <c r="D49" s="380"/>
      <c r="E49" s="326"/>
      <c r="F49" s="137">
        <v>1</v>
      </c>
      <c r="G49" s="137" t="s">
        <v>101</v>
      </c>
      <c r="I49" s="116">
        <f t="shared" si="8"/>
        <v>1</v>
      </c>
      <c r="J49" s="116">
        <f t="shared" si="9"/>
        <v>0</v>
      </c>
      <c r="K49" s="116">
        <f t="shared" si="10"/>
        <v>0</v>
      </c>
      <c r="L49" s="115">
        <v>1</v>
      </c>
    </row>
    <row r="50" spans="1:12" ht="30" customHeight="1" x14ac:dyDescent="0.3">
      <c r="A50" s="373" t="str">
        <f>IF(L50=1,"ePCR-"&amp;TEXT(COUNTIF($L$3:L50, "1"), "0"), "")</f>
        <v>ePCR-45</v>
      </c>
      <c r="B50" s="133" t="s">
        <v>43</v>
      </c>
      <c r="C50" s="154" t="s">
        <v>172</v>
      </c>
      <c r="D50" s="380"/>
      <c r="E50" s="326"/>
      <c r="F50" s="137">
        <v>1</v>
      </c>
      <c r="G50" s="137" t="s">
        <v>101</v>
      </c>
      <c r="I50" s="116">
        <f t="shared" si="8"/>
        <v>1</v>
      </c>
      <c r="J50" s="116">
        <f t="shared" si="9"/>
        <v>0</v>
      </c>
      <c r="K50" s="116">
        <f t="shared" si="10"/>
        <v>0</v>
      </c>
      <c r="L50" s="115">
        <v>1</v>
      </c>
    </row>
    <row r="51" spans="1:12" ht="30" customHeight="1" x14ac:dyDescent="0.3">
      <c r="A51" s="373" t="str">
        <f>IF(L51=1,"ePCR-"&amp;TEXT(COUNTIF($L$3:L51, "1"), "0"), "")</f>
        <v>ePCR-46</v>
      </c>
      <c r="B51" s="133" t="s">
        <v>43</v>
      </c>
      <c r="C51" s="154" t="s">
        <v>173</v>
      </c>
      <c r="D51" s="380"/>
      <c r="E51" s="326"/>
      <c r="F51" s="137">
        <v>1</v>
      </c>
      <c r="G51" s="137" t="s">
        <v>101</v>
      </c>
      <c r="I51" s="116">
        <f t="shared" si="8"/>
        <v>1</v>
      </c>
      <c r="J51" s="116">
        <f t="shared" si="9"/>
        <v>0</v>
      </c>
      <c r="K51" s="116">
        <f t="shared" si="10"/>
        <v>0</v>
      </c>
      <c r="L51" s="115">
        <v>1</v>
      </c>
    </row>
    <row r="52" spans="1:12" ht="30" customHeight="1" x14ac:dyDescent="0.3">
      <c r="A52" s="373" t="str">
        <f>IF(L52=1,"ePCR-"&amp;TEXT(COUNTIF($L$3:L52, "1"), "0"), "")</f>
        <v>ePCR-47</v>
      </c>
      <c r="B52" s="133" t="s">
        <v>43</v>
      </c>
      <c r="C52" s="134" t="s">
        <v>207</v>
      </c>
      <c r="D52" s="153"/>
      <c r="E52" s="326"/>
      <c r="F52" s="137">
        <v>1</v>
      </c>
      <c r="G52" s="137" t="s">
        <v>101</v>
      </c>
      <c r="I52" s="116">
        <f t="shared" si="8"/>
        <v>1</v>
      </c>
      <c r="J52" s="116">
        <f t="shared" si="9"/>
        <v>0</v>
      </c>
      <c r="K52" s="116">
        <f t="shared" si="10"/>
        <v>0</v>
      </c>
      <c r="L52" s="115">
        <v>1</v>
      </c>
    </row>
    <row r="53" spans="1:12" x14ac:dyDescent="0.3">
      <c r="A53" s="376"/>
      <c r="B53" s="126"/>
      <c r="C53" s="243" t="s">
        <v>165</v>
      </c>
      <c r="D53" s="386"/>
      <c r="E53" s="130"/>
      <c r="F53" s="181"/>
      <c r="G53" s="848"/>
    </row>
    <row r="54" spans="1:12" ht="30" customHeight="1" x14ac:dyDescent="0.3">
      <c r="A54" s="373" t="str">
        <f>IF(L54=1,"ePCR-"&amp;TEXT(COUNTIF($L$3:L54, "1"), "0"), "")</f>
        <v>ePCR-48</v>
      </c>
      <c r="B54" s="183" t="s">
        <v>43</v>
      </c>
      <c r="C54" s="269" t="s">
        <v>208</v>
      </c>
      <c r="D54" s="270"/>
      <c r="E54" s="328"/>
      <c r="F54" s="191">
        <v>1</v>
      </c>
      <c r="G54" s="187" t="s">
        <v>101</v>
      </c>
      <c r="I54" s="116">
        <f>IF(NOT(ISBLANK($B54)),VLOOKUP($B54,specdata,2,FALSE()),"")</f>
        <v>1</v>
      </c>
      <c r="J54" s="116">
        <f>VLOOKUP(G54,AvailabilityData,2,FALSE())</f>
        <v>0</v>
      </c>
      <c r="K54" s="116">
        <f>I54*J54</f>
        <v>0</v>
      </c>
      <c r="L54" s="115">
        <v>1</v>
      </c>
    </row>
    <row r="55" spans="1:12" ht="30" customHeight="1" x14ac:dyDescent="0.3">
      <c r="A55" s="373" t="str">
        <f>IF(L55=1,"ePCR-"&amp;TEXT(COUNTIF($L$3:L55, "1"), "0"), "")</f>
        <v>ePCR-49</v>
      </c>
      <c r="B55" s="133" t="s">
        <v>43</v>
      </c>
      <c r="C55" s="134" t="s">
        <v>209</v>
      </c>
      <c r="D55" s="380"/>
      <c r="E55" s="326"/>
      <c r="F55" s="166">
        <v>1</v>
      </c>
      <c r="G55" s="137" t="s">
        <v>101</v>
      </c>
      <c r="I55" s="116">
        <f>IF(NOT(ISBLANK($B55)),VLOOKUP($B55,specdata,2,FALSE()),"")</f>
        <v>1</v>
      </c>
      <c r="J55" s="116">
        <f>VLOOKUP(G55,AvailabilityData,2,FALSE())</f>
        <v>0</v>
      </c>
      <c r="K55" s="116">
        <f>I55*J55</f>
        <v>0</v>
      </c>
      <c r="L55" s="115">
        <v>1</v>
      </c>
    </row>
    <row r="56" spans="1:12" ht="30" customHeight="1" x14ac:dyDescent="0.3">
      <c r="A56" s="373" t="str">
        <f>IF(L56=1,"ePCR-"&amp;TEXT(COUNTIF($L$3:L56, "1"), "0"), "")</f>
        <v>ePCR-50</v>
      </c>
      <c r="B56" s="133" t="s">
        <v>43</v>
      </c>
      <c r="C56" s="134" t="s">
        <v>210</v>
      </c>
      <c r="D56" s="380"/>
      <c r="E56" s="326"/>
      <c r="F56" s="166">
        <v>1</v>
      </c>
      <c r="G56" s="137" t="s">
        <v>101</v>
      </c>
      <c r="I56" s="116">
        <f>IF(NOT(ISBLANK($B56)),VLOOKUP($B56,specdata,2,FALSE()),"")</f>
        <v>1</v>
      </c>
      <c r="J56" s="116">
        <f>VLOOKUP(G56,AvailabilityData,2,FALSE())</f>
        <v>0</v>
      </c>
      <c r="K56" s="116">
        <f>I56*J56</f>
        <v>0</v>
      </c>
      <c r="L56" s="115">
        <v>1</v>
      </c>
    </row>
    <row r="57" spans="1:12" ht="30" customHeight="1" x14ac:dyDescent="0.3">
      <c r="A57" s="373" t="str">
        <f>IF(L57=1,"ePCR-"&amp;TEXT(COUNTIF($L$3:L57, "1"), "0"), "")</f>
        <v>ePCR-51</v>
      </c>
      <c r="B57" s="169" t="s">
        <v>43</v>
      </c>
      <c r="C57" s="271" t="s">
        <v>211</v>
      </c>
      <c r="D57" s="174"/>
      <c r="E57" s="327"/>
      <c r="F57" s="173">
        <v>1</v>
      </c>
      <c r="G57" s="137" t="s">
        <v>101</v>
      </c>
      <c r="I57" s="116">
        <f>IF(NOT(ISBLANK($B57)),VLOOKUP($B57,specdata,2,FALSE()),"")</f>
        <v>1</v>
      </c>
      <c r="J57" s="116">
        <f>VLOOKUP(G57,AvailabilityData,2,FALSE())</f>
        <v>0</v>
      </c>
      <c r="K57" s="116">
        <f>I57*J57</f>
        <v>0</v>
      </c>
      <c r="L57" s="115">
        <v>1</v>
      </c>
    </row>
    <row r="58" spans="1:12" x14ac:dyDescent="0.3">
      <c r="A58" s="376"/>
      <c r="B58" s="126"/>
      <c r="C58" s="243" t="s">
        <v>174</v>
      </c>
      <c r="D58" s="386"/>
      <c r="E58" s="130"/>
      <c r="F58" s="181"/>
      <c r="G58" s="848"/>
    </row>
    <row r="59" spans="1:12" ht="30" customHeight="1" x14ac:dyDescent="0.3">
      <c r="A59" s="373" t="str">
        <f>IF(L59=1,"ePCR-"&amp;TEXT(COUNTIF($L$3:L59, "1"), "0"), "")</f>
        <v>ePCR-52</v>
      </c>
      <c r="B59" s="183" t="s">
        <v>43</v>
      </c>
      <c r="C59" s="269" t="s">
        <v>670</v>
      </c>
      <c r="D59" s="382"/>
      <c r="E59" s="328"/>
      <c r="F59" s="191">
        <v>1</v>
      </c>
      <c r="G59" s="187" t="s">
        <v>101</v>
      </c>
      <c r="I59" s="116">
        <f>IF(NOT(ISBLANK($B59)),VLOOKUP($B59,specdata,2,FALSE()),"")</f>
        <v>1</v>
      </c>
      <c r="J59" s="116">
        <f>VLOOKUP(G59,AvailabilityData,2,FALSE())</f>
        <v>0</v>
      </c>
      <c r="K59" s="116">
        <f>I59*J59</f>
        <v>0</v>
      </c>
      <c r="L59" s="115">
        <v>1</v>
      </c>
    </row>
    <row r="60" spans="1:12" ht="46.8" x14ac:dyDescent="0.3">
      <c r="A60" s="373" t="str">
        <f>IF(L60=1,"ePCR-"&amp;TEXT(COUNTIF($L$3:L60, "1"), "0"), "")</f>
        <v>ePCR-53</v>
      </c>
      <c r="B60" s="133" t="s">
        <v>43</v>
      </c>
      <c r="C60" s="134" t="s">
        <v>193</v>
      </c>
      <c r="D60" s="380"/>
      <c r="E60" s="326"/>
      <c r="F60" s="166">
        <v>1</v>
      </c>
      <c r="G60" s="137" t="s">
        <v>101</v>
      </c>
      <c r="I60" s="116">
        <f>IF(NOT(ISBLANK($B60)),VLOOKUP($B60,specdata,2,FALSE()),"")</f>
        <v>1</v>
      </c>
      <c r="J60" s="116">
        <f>VLOOKUP(G60,AvailabilityData,2,FALSE())</f>
        <v>0</v>
      </c>
      <c r="K60" s="116">
        <f>I60*J60</f>
        <v>0</v>
      </c>
      <c r="L60" s="115">
        <v>1</v>
      </c>
    </row>
    <row r="61" spans="1:12" ht="42.75" customHeight="1" x14ac:dyDescent="0.3">
      <c r="A61" s="373" t="str">
        <f>IF(L61=1,"ePCR-"&amp;TEXT(COUNTIF($L$3:L61, "1"), "0"), "")</f>
        <v>ePCR-54</v>
      </c>
      <c r="B61" s="133" t="s">
        <v>43</v>
      </c>
      <c r="C61" s="134" t="s">
        <v>671</v>
      </c>
      <c r="D61" s="153"/>
      <c r="E61" s="326"/>
      <c r="F61" s="166">
        <v>1</v>
      </c>
      <c r="G61" s="137" t="s">
        <v>101</v>
      </c>
      <c r="I61" s="116">
        <f>IF(NOT(ISBLANK($B61)),VLOOKUP($B61,specdata,2,FALSE()),"")</f>
        <v>1</v>
      </c>
      <c r="J61" s="116">
        <f>VLOOKUP(G61,AvailabilityData,2,FALSE())</f>
        <v>0</v>
      </c>
      <c r="K61" s="116">
        <f>I61*J61</f>
        <v>0</v>
      </c>
      <c r="L61" s="115">
        <v>1</v>
      </c>
    </row>
    <row r="62" spans="1:12" x14ac:dyDescent="0.3">
      <c r="H62" s="115"/>
    </row>
    <row r="63" spans="1:12" x14ac:dyDescent="0.3">
      <c r="H63" s="115"/>
    </row>
    <row r="64" spans="1:12" x14ac:dyDescent="0.3">
      <c r="H64" s="115"/>
    </row>
    <row r="65" spans="8:8" x14ac:dyDescent="0.3">
      <c r="H65" s="115"/>
    </row>
    <row r="66" spans="8:8" x14ac:dyDescent="0.3">
      <c r="H66" s="115"/>
    </row>
    <row r="67" spans="8:8" x14ac:dyDescent="0.3">
      <c r="H67" s="115"/>
    </row>
    <row r="68" spans="8:8" x14ac:dyDescent="0.3">
      <c r="H68" s="115"/>
    </row>
    <row r="69" spans="8:8" x14ac:dyDescent="0.3">
      <c r="H69" s="115"/>
    </row>
    <row r="70" spans="8:8" x14ac:dyDescent="0.3">
      <c r="H70" s="115"/>
    </row>
    <row r="71" spans="8:8" x14ac:dyDescent="0.3">
      <c r="H71" s="115"/>
    </row>
    <row r="72" spans="8:8" x14ac:dyDescent="0.3">
      <c r="H72" s="115"/>
    </row>
    <row r="73" spans="8:8" x14ac:dyDescent="0.3">
      <c r="H73" s="115"/>
    </row>
    <row r="74" spans="8:8" x14ac:dyDescent="0.3">
      <c r="H74" s="115"/>
    </row>
    <row r="75" spans="8:8" x14ac:dyDescent="0.3">
      <c r="H75" s="115"/>
    </row>
    <row r="76" spans="8:8" x14ac:dyDescent="0.3">
      <c r="H76" s="115"/>
    </row>
    <row r="77" spans="8:8" x14ac:dyDescent="0.3">
      <c r="H77" s="115"/>
    </row>
    <row r="78" spans="8:8" x14ac:dyDescent="0.3">
      <c r="H78" s="115"/>
    </row>
  </sheetData>
  <sheetProtection algorithmName="SHA-512" hashValue="Giv1Rl9k+ucnwtT6hBEOYa+dM1vi5vckQ4qm5Ug/so+gBMz7z4a9/sIVqYSZeM4T+rFxgQ8gyzD3v2GsuINGXw==" saltValue="hm9fbZdR0Gwvf6tUB0DK0Q==" spinCount="100000" sheet="1" objects="1" scenarios="1"/>
  <mergeCells count="1">
    <mergeCell ref="O3:Q7"/>
  </mergeCells>
  <conditionalFormatting sqref="B1:B1048576">
    <cfRule type="cellIs" dxfId="200" priority="2" operator="equal">
      <formula>"Informational"</formula>
    </cfRule>
    <cfRule type="cellIs" dxfId="199" priority="3" operator="equal">
      <formula>"Not Needed"</formula>
    </cfRule>
    <cfRule type="cellIs" dxfId="198" priority="4" operator="equal">
      <formula>"Critical"</formula>
    </cfRule>
    <cfRule type="cellIs" dxfId="197" priority="5" operator="equal">
      <formula>"Extremely Advantageous"</formula>
    </cfRule>
  </conditionalFormatting>
  <conditionalFormatting sqref="C9:D9">
    <cfRule type="cellIs" dxfId="196" priority="8" operator="equal">
      <formula>"Mandatory"</formula>
    </cfRule>
  </conditionalFormatting>
  <conditionalFormatting sqref="G1:G1048576">
    <cfRule type="cellIs" dxfId="195" priority="6" operator="equal">
      <formula>"Exception"</formula>
    </cfRule>
  </conditionalFormatting>
  <conditionalFormatting sqref="G3:G61">
    <cfRule type="cellIs" dxfId="194" priority="7" operator="equal">
      <formula>"Select from Drop Down List"</formula>
    </cfRule>
  </conditionalFormatting>
  <dataValidations count="2">
    <dataValidation type="list" allowBlank="1" showInputMessage="1" showErrorMessage="1" sqref="G3:G27 G29:G31 G33:G45 G47:G52 G54:G57 G59:G61" xr:uid="{00000000-0002-0000-1900-000000000000}">
      <formula1>Availability</formula1>
      <formula2>0</formula2>
    </dataValidation>
    <dataValidation type="list" allowBlank="1" showInputMessage="1" showErrorMessage="1" sqref="B3:B61" xr:uid="{00000000-0002-0000-1900-000001000000}">
      <formula1>SpecType</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pageSetUpPr fitToPage="1"/>
  </sheetPr>
  <dimension ref="A1:Q186"/>
  <sheetViews>
    <sheetView zoomScaleNormal="100" zoomScalePageLayoutView="90" workbookViewId="0">
      <selection activeCell="O3" sqref="O3:Q5"/>
    </sheetView>
  </sheetViews>
  <sheetFormatPr defaultColWidth="9" defaultRowHeight="15.6" x14ac:dyDescent="0.3"/>
  <cols>
    <col min="1" max="1" width="10.59765625" style="113" customWidth="1"/>
    <col min="2" max="2" width="14.59765625" style="113" customWidth="1"/>
    <col min="3" max="3" width="65.59765625" style="261" customWidth="1"/>
    <col min="4" max="4" width="65.59765625" style="115" customWidth="1"/>
    <col min="5" max="5" width="10.59765625" style="115" hidden="1" customWidth="1"/>
    <col min="6" max="6" width="6.59765625" style="115" hidden="1" customWidth="1"/>
    <col min="7" max="7" width="30.59765625" style="115" customWidth="1"/>
    <col min="8" max="8" width="8.59765625" style="131" hidden="1" customWidth="1"/>
    <col min="9" max="11" width="8.59765625" style="115" hidden="1" customWidth="1"/>
    <col min="12" max="12" width="0" style="115" hidden="1" customWidth="1"/>
    <col min="13" max="16384" width="9" style="115"/>
  </cols>
  <sheetData>
    <row r="1" spans="1:17" s="124" customFormat="1" ht="105" customHeight="1" x14ac:dyDescent="0.25">
      <c r="A1" s="158" t="s">
        <v>102</v>
      </c>
      <c r="B1" s="158" t="s">
        <v>103</v>
      </c>
      <c r="C1" s="158" t="str">
        <f>'Support Data'!A18</f>
        <v>Specifications</v>
      </c>
      <c r="D1" s="159" t="str">
        <f>'Support Data'!$A$19</f>
        <v>Contractor Work Area</v>
      </c>
      <c r="E1" s="159" t="str">
        <f>'Support Data'!A20</f>
        <v>Def ID</v>
      </c>
      <c r="F1" s="160" t="s">
        <v>78</v>
      </c>
      <c r="G1" s="159" t="str">
        <f>'Support Data'!A22</f>
        <v>Availability</v>
      </c>
      <c r="H1" s="123" t="str">
        <f>'Support Data'!A24</f>
        <v>Summary</v>
      </c>
      <c r="I1" s="123" t="str">
        <f>'Support Data'!A25</f>
        <v>Spec Weight</v>
      </c>
      <c r="J1" s="123" t="str">
        <f>'Support Data'!A26</f>
        <v>Avail Weight</v>
      </c>
      <c r="K1" s="123" t="str">
        <f>'Support Data'!A27</f>
        <v>Score</v>
      </c>
      <c r="L1" s="123" t="s">
        <v>104</v>
      </c>
      <c r="M1" s="838"/>
    </row>
    <row r="2" spans="1:17" x14ac:dyDescent="0.3">
      <c r="A2" s="125" t="s">
        <v>678</v>
      </c>
      <c r="B2" s="161"/>
      <c r="C2" s="178"/>
      <c r="D2" s="128"/>
      <c r="E2" s="130"/>
      <c r="F2" s="130"/>
      <c r="G2" s="268"/>
      <c r="H2" s="131">
        <f>COUNTA(B3:B53)</f>
        <v>46</v>
      </c>
      <c r="K2" s="115">
        <f>SUM(K3:K53)</f>
        <v>0</v>
      </c>
    </row>
    <row r="3" spans="1:17" ht="43.35" customHeight="1" x14ac:dyDescent="0.3">
      <c r="A3" s="259" t="str">
        <f>IF(L3=1,"FRMS-OUT-"&amp;TEXT(COUNTIF($L$3:L3, "1"), "0"), "")</f>
        <v>FRMS-OUT-1</v>
      </c>
      <c r="B3" s="133" t="s">
        <v>43</v>
      </c>
      <c r="C3" s="184" t="s">
        <v>679</v>
      </c>
      <c r="D3" s="185"/>
      <c r="E3" s="186"/>
      <c r="F3" s="187"/>
      <c r="G3" s="187" t="s">
        <v>101</v>
      </c>
      <c r="H3" s="131">
        <f>COUNTIF(G:G,"=Select from Drop Down List")</f>
        <v>46</v>
      </c>
      <c r="I3" s="116">
        <f t="shared" ref="I3:I28" si="0">IF(NOT(ISBLANK($B3)),VLOOKUP($B3,specdata,2,FALSE()),"")</f>
        <v>1</v>
      </c>
      <c r="J3" s="116">
        <f t="shared" ref="J3:J28" si="1">VLOOKUP(G3,AvailabilityData,2,FALSE())</f>
        <v>0</v>
      </c>
      <c r="K3" s="116">
        <f t="shared" ref="K3:K28" si="2">I3*J3</f>
        <v>0</v>
      </c>
      <c r="L3" s="115">
        <v>1</v>
      </c>
      <c r="O3" s="857"/>
      <c r="P3" s="857"/>
      <c r="Q3" s="857"/>
    </row>
    <row r="4" spans="1:17" ht="30" customHeight="1" x14ac:dyDescent="0.3">
      <c r="A4" s="259" t="str">
        <f>IF(L4=1,"FRMS-OUT-"&amp;TEXT(COUNTIF($L$3:L4, "1"), "0"), "")</f>
        <v>FRMS-OUT-2</v>
      </c>
      <c r="B4" s="133" t="s">
        <v>43</v>
      </c>
      <c r="C4" s="164" t="s">
        <v>681</v>
      </c>
      <c r="D4" s="138"/>
      <c r="E4" s="168"/>
      <c r="F4" s="137"/>
      <c r="G4" s="137" t="s">
        <v>101</v>
      </c>
      <c r="H4" s="131">
        <f>COUNTIF(G:G,"=Function Available")</f>
        <v>0</v>
      </c>
      <c r="I4" s="116">
        <f t="shared" si="0"/>
        <v>1</v>
      </c>
      <c r="J4" s="116">
        <f t="shared" si="1"/>
        <v>0</v>
      </c>
      <c r="K4" s="116">
        <f t="shared" si="2"/>
        <v>0</v>
      </c>
      <c r="L4" s="115">
        <v>1</v>
      </c>
      <c r="O4" s="857"/>
      <c r="P4" s="857"/>
      <c r="Q4" s="857"/>
    </row>
    <row r="5" spans="1:17" ht="62.4" x14ac:dyDescent="0.3">
      <c r="A5" s="259" t="str">
        <f>IF(L5=1,"FRMS-OUT-"&amp;TEXT(COUNTIF($L$3:L5, "1"), "0"), "")</f>
        <v>FRMS-OUT-3</v>
      </c>
      <c r="B5" s="169" t="s">
        <v>43</v>
      </c>
      <c r="C5" s="164" t="s">
        <v>682</v>
      </c>
      <c r="D5" s="153"/>
      <c r="E5" s="168"/>
      <c r="F5" s="137"/>
      <c r="G5" s="137" t="s">
        <v>101</v>
      </c>
      <c r="H5" s="131">
        <f>COUNTIF(F:G,"=Function Not Available")</f>
        <v>0</v>
      </c>
      <c r="I5" s="116">
        <f t="shared" si="0"/>
        <v>1</v>
      </c>
      <c r="J5" s="116">
        <f t="shared" si="1"/>
        <v>0</v>
      </c>
      <c r="K5" s="116">
        <f t="shared" si="2"/>
        <v>0</v>
      </c>
      <c r="L5" s="115">
        <v>1</v>
      </c>
      <c r="O5" s="857"/>
      <c r="P5" s="857"/>
      <c r="Q5" s="857"/>
    </row>
    <row r="6" spans="1:17" ht="62.4" x14ac:dyDescent="0.3">
      <c r="A6" s="259" t="str">
        <f>IF(L6=1,"FRMS-OUT-"&amp;TEXT(COUNTIF($L$3:L6, "1"), "0"), "")</f>
        <v>FRMS-OUT-4</v>
      </c>
      <c r="B6" s="133" t="s">
        <v>43</v>
      </c>
      <c r="C6" s="164" t="s">
        <v>683</v>
      </c>
      <c r="D6" s="153"/>
      <c r="E6" s="168"/>
      <c r="F6" s="137"/>
      <c r="G6" s="240" t="s">
        <v>101</v>
      </c>
      <c r="H6" s="131">
        <f>COUNTIF(G:G,"=Exception")</f>
        <v>0</v>
      </c>
      <c r="I6" s="116">
        <f t="shared" si="0"/>
        <v>1</v>
      </c>
      <c r="J6" s="116">
        <f t="shared" si="1"/>
        <v>0</v>
      </c>
      <c r="K6" s="116">
        <f t="shared" si="2"/>
        <v>0</v>
      </c>
      <c r="L6" s="115">
        <v>1</v>
      </c>
    </row>
    <row r="7" spans="1:17" x14ac:dyDescent="0.3">
      <c r="A7" s="259" t="str">
        <f>IF(L7=1,"FRMS-OUT-"&amp;TEXT(COUNTIF($L$3:L7, "1"), "0"), "")</f>
        <v>FRMS-OUT-5</v>
      </c>
      <c r="B7" s="133" t="s">
        <v>43</v>
      </c>
      <c r="C7" s="154" t="s">
        <v>635</v>
      </c>
      <c r="D7" s="153"/>
      <c r="E7" s="168"/>
      <c r="F7" s="137"/>
      <c r="G7" s="240" t="s">
        <v>101</v>
      </c>
      <c r="H7" s="140">
        <f>COUNTIFS(B:B,"=Critical",G:G,"=Select from Drop Down List")</f>
        <v>0</v>
      </c>
      <c r="I7" s="116">
        <f t="shared" si="0"/>
        <v>1</v>
      </c>
      <c r="J7" s="116">
        <f t="shared" si="1"/>
        <v>0</v>
      </c>
      <c r="K7" s="116">
        <f t="shared" si="2"/>
        <v>0</v>
      </c>
      <c r="L7" s="115">
        <v>1</v>
      </c>
    </row>
    <row r="8" spans="1:17" ht="30" customHeight="1" x14ac:dyDescent="0.3">
      <c r="A8" s="259" t="str">
        <f>IF(L8=1,"FRMS-OUT-"&amp;TEXT(COUNTIF($L$3:L8, "1"), "0"), "")</f>
        <v>FRMS-OUT-6</v>
      </c>
      <c r="B8" s="133" t="s">
        <v>43</v>
      </c>
      <c r="C8" s="154" t="s">
        <v>636</v>
      </c>
      <c r="D8" s="153"/>
      <c r="E8" s="168"/>
      <c r="F8" s="137"/>
      <c r="G8" s="240" t="s">
        <v>101</v>
      </c>
      <c r="H8" s="140">
        <f>COUNTIFS(B:B,"=Critical",G:G,"=Function Available")</f>
        <v>0</v>
      </c>
      <c r="I8" s="116">
        <f t="shared" si="0"/>
        <v>1</v>
      </c>
      <c r="J8" s="116">
        <f t="shared" si="1"/>
        <v>0</v>
      </c>
      <c r="K8" s="116">
        <f t="shared" si="2"/>
        <v>0</v>
      </c>
      <c r="L8" s="115">
        <v>1</v>
      </c>
    </row>
    <row r="9" spans="1:17" ht="30" customHeight="1" x14ac:dyDescent="0.3">
      <c r="A9" s="259" t="str">
        <f>IF(L9=1,"FRMS-OUT-"&amp;TEXT(COUNTIF($L$3:L9, "1"), "0"), "")</f>
        <v>FRMS-OUT-7</v>
      </c>
      <c r="B9" s="133" t="s">
        <v>43</v>
      </c>
      <c r="C9" s="154" t="s">
        <v>637</v>
      </c>
      <c r="D9" s="153"/>
      <c r="E9" s="168"/>
      <c r="F9" s="137"/>
      <c r="G9" s="240" t="s">
        <v>101</v>
      </c>
      <c r="H9" s="140">
        <f>COUNTIFS(B:B,"=Critical",G:G,"=Function Not Available")</f>
        <v>0</v>
      </c>
      <c r="I9" s="116">
        <f t="shared" si="0"/>
        <v>1</v>
      </c>
      <c r="J9" s="116">
        <f t="shared" si="1"/>
        <v>0</v>
      </c>
      <c r="K9" s="116">
        <f t="shared" si="2"/>
        <v>0</v>
      </c>
      <c r="L9" s="115">
        <v>1</v>
      </c>
    </row>
    <row r="10" spans="1:17" ht="30" customHeight="1" x14ac:dyDescent="0.3">
      <c r="A10" s="259" t="str">
        <f>IF(L10=1,"FRMS-OUT-"&amp;TEXT(COUNTIF($L$3:L10, "1"), "0"), "")</f>
        <v>FRMS-OUT-8</v>
      </c>
      <c r="B10" s="133" t="s">
        <v>43</v>
      </c>
      <c r="C10" s="154" t="s">
        <v>638</v>
      </c>
      <c r="D10" s="153"/>
      <c r="E10" s="168"/>
      <c r="F10" s="137"/>
      <c r="G10" s="240" t="s">
        <v>101</v>
      </c>
      <c r="H10" s="140">
        <f>COUNTIFS(B:B,"=Critical",G:G,"=Exception")</f>
        <v>0</v>
      </c>
      <c r="I10" s="116">
        <f t="shared" si="0"/>
        <v>1</v>
      </c>
      <c r="J10" s="116">
        <f t="shared" si="1"/>
        <v>0</v>
      </c>
      <c r="K10" s="116">
        <f t="shared" si="2"/>
        <v>0</v>
      </c>
      <c r="L10" s="115">
        <v>1</v>
      </c>
    </row>
    <row r="11" spans="1:17" ht="30" customHeight="1" x14ac:dyDescent="0.3">
      <c r="A11" s="259" t="str">
        <f>IF(L11=1,"FRMS-OUT-"&amp;TEXT(COUNTIF($L$3:L11, "1"), "0"), "")</f>
        <v>FRMS-OUT-9</v>
      </c>
      <c r="B11" s="133" t="s">
        <v>43</v>
      </c>
      <c r="C11" s="154" t="s">
        <v>639</v>
      </c>
      <c r="D11" s="153"/>
      <c r="E11" s="168"/>
      <c r="F11" s="137"/>
      <c r="G11" s="240" t="s">
        <v>101</v>
      </c>
      <c r="H11" s="146">
        <f>COUNTIFS(B:B,"=Important",G:G,"=Select from Drop Down List")</f>
        <v>46</v>
      </c>
      <c r="I11" s="116">
        <f t="shared" si="0"/>
        <v>1</v>
      </c>
      <c r="J11" s="116">
        <f t="shared" si="1"/>
        <v>0</v>
      </c>
      <c r="K11" s="116">
        <f t="shared" si="2"/>
        <v>0</v>
      </c>
      <c r="L11" s="115">
        <v>1</v>
      </c>
    </row>
    <row r="12" spans="1:17" ht="30" customHeight="1" x14ac:dyDescent="0.3">
      <c r="A12" s="259" t="str">
        <f>IF(L12=1,"FRMS-OUT-"&amp;TEXT(COUNTIF($L$3:L12, "1"), "0"), "")</f>
        <v>FRMS-OUT-10</v>
      </c>
      <c r="B12" s="260" t="s">
        <v>43</v>
      </c>
      <c r="C12" s="154" t="s">
        <v>640</v>
      </c>
      <c r="D12" s="153"/>
      <c r="E12" s="168"/>
      <c r="F12" s="137"/>
      <c r="G12" s="137" t="s">
        <v>101</v>
      </c>
      <c r="H12" s="146">
        <f>COUNTIFS(B:B,"=Important",G:G,"=Function Available")</f>
        <v>0</v>
      </c>
      <c r="I12" s="116">
        <f t="shared" si="0"/>
        <v>1</v>
      </c>
      <c r="J12" s="116">
        <f t="shared" si="1"/>
        <v>0</v>
      </c>
      <c r="K12" s="116">
        <f t="shared" si="2"/>
        <v>0</v>
      </c>
      <c r="L12" s="115">
        <v>1</v>
      </c>
    </row>
    <row r="13" spans="1:17" ht="30" customHeight="1" x14ac:dyDescent="0.3">
      <c r="A13" s="259" t="str">
        <f>IF(L13=1,"FRMS-OUT-"&amp;TEXT(COUNTIF($L$3:L13, "1"), "0"), "")</f>
        <v>FRMS-OUT-11</v>
      </c>
      <c r="B13" s="169" t="s">
        <v>43</v>
      </c>
      <c r="C13" s="154" t="s">
        <v>641</v>
      </c>
      <c r="D13" s="153"/>
      <c r="E13" s="168"/>
      <c r="F13" s="137"/>
      <c r="G13" s="137" t="s">
        <v>101</v>
      </c>
      <c r="H13" s="146">
        <f>COUNTIFS(B:B,"=Important",G:G,"=Function Not Available")</f>
        <v>0</v>
      </c>
      <c r="I13" s="116">
        <f t="shared" si="0"/>
        <v>1</v>
      </c>
      <c r="J13" s="116">
        <f t="shared" si="1"/>
        <v>0</v>
      </c>
      <c r="K13" s="116">
        <f t="shared" si="2"/>
        <v>0</v>
      </c>
      <c r="L13" s="115">
        <v>1</v>
      </c>
    </row>
    <row r="14" spans="1:17" ht="30" customHeight="1" x14ac:dyDescent="0.3">
      <c r="A14" s="259" t="str">
        <f>IF(L14=1,"FRMS-OUT-"&amp;TEXT(COUNTIF($L$3:L14, "1"), "0"), "")</f>
        <v>FRMS-OUT-12</v>
      </c>
      <c r="B14" s="169" t="s">
        <v>43</v>
      </c>
      <c r="C14" s="154" t="s">
        <v>684</v>
      </c>
      <c r="D14" s="153"/>
      <c r="E14" s="168"/>
      <c r="F14" s="137"/>
      <c r="G14" s="137" t="s">
        <v>101</v>
      </c>
      <c r="H14" s="146">
        <f>COUNTIFS(B:B,"=Important",G:G,"=Exception")</f>
        <v>0</v>
      </c>
      <c r="I14" s="116">
        <f t="shared" si="0"/>
        <v>1</v>
      </c>
      <c r="J14" s="116">
        <f t="shared" si="1"/>
        <v>0</v>
      </c>
      <c r="K14" s="116">
        <f t="shared" si="2"/>
        <v>0</v>
      </c>
      <c r="L14" s="115">
        <v>1</v>
      </c>
    </row>
    <row r="15" spans="1:17" ht="30" customHeight="1" x14ac:dyDescent="0.3">
      <c r="A15" s="259" t="str">
        <f>IF(L15=1,"FRMS-OUT-"&amp;TEXT(COUNTIF($L$3:L15, "1"), "0"), "")</f>
        <v>FRMS-OUT-13</v>
      </c>
      <c r="B15" s="169" t="s">
        <v>43</v>
      </c>
      <c r="C15" s="154" t="s">
        <v>643</v>
      </c>
      <c r="D15" s="153"/>
      <c r="E15" s="168"/>
      <c r="F15" s="137"/>
      <c r="G15" s="137" t="s">
        <v>101</v>
      </c>
      <c r="H15" s="147">
        <f>COUNTIFS(B:B,"=Informational",G:G,"=Select from Drop Down List")</f>
        <v>0</v>
      </c>
      <c r="I15" s="116">
        <f t="shared" si="0"/>
        <v>1</v>
      </c>
      <c r="J15" s="116">
        <f t="shared" si="1"/>
        <v>0</v>
      </c>
      <c r="K15" s="116">
        <f t="shared" si="2"/>
        <v>0</v>
      </c>
      <c r="L15" s="115">
        <v>1</v>
      </c>
    </row>
    <row r="16" spans="1:17" ht="30" customHeight="1" x14ac:dyDescent="0.3">
      <c r="A16" s="259" t="str">
        <f>IF(L16=1,"FRMS-OUT-"&amp;TEXT(COUNTIF($L$3:L16, "1"), "0"), "")</f>
        <v>FRMS-OUT-14</v>
      </c>
      <c r="B16" s="169" t="s">
        <v>43</v>
      </c>
      <c r="C16" s="154" t="s">
        <v>644</v>
      </c>
      <c r="D16" s="153"/>
      <c r="E16" s="168"/>
      <c r="F16" s="137"/>
      <c r="G16" s="137" t="s">
        <v>101</v>
      </c>
      <c r="H16" s="147">
        <f>COUNTIFS(B:B,"=Informational",G:G,"=Function Available")</f>
        <v>0</v>
      </c>
      <c r="I16" s="116">
        <f t="shared" si="0"/>
        <v>1</v>
      </c>
      <c r="J16" s="116">
        <f t="shared" si="1"/>
        <v>0</v>
      </c>
      <c r="K16" s="116">
        <f t="shared" si="2"/>
        <v>0</v>
      </c>
      <c r="L16" s="115">
        <v>1</v>
      </c>
    </row>
    <row r="17" spans="1:12" ht="30" customHeight="1" x14ac:dyDescent="0.3">
      <c r="A17" s="259" t="str">
        <f>IF(L17=1,"FRMS-OUT-"&amp;TEXT(COUNTIF($L$3:L17, "1"), "0"), "")</f>
        <v>FRMS-OUT-15</v>
      </c>
      <c r="B17" s="169" t="s">
        <v>43</v>
      </c>
      <c r="C17" s="154" t="s">
        <v>685</v>
      </c>
      <c r="D17" s="153"/>
      <c r="E17" s="168"/>
      <c r="F17" s="137"/>
      <c r="G17" s="137" t="s">
        <v>101</v>
      </c>
      <c r="H17" s="147">
        <f>COUNTIFS(B:B,"=Informational",G:G,"=Function Not Available")</f>
        <v>0</v>
      </c>
      <c r="I17" s="116">
        <f t="shared" si="0"/>
        <v>1</v>
      </c>
      <c r="J17" s="116">
        <f t="shared" si="1"/>
        <v>0</v>
      </c>
      <c r="K17" s="116">
        <f t="shared" si="2"/>
        <v>0</v>
      </c>
      <c r="L17" s="115">
        <v>1</v>
      </c>
    </row>
    <row r="18" spans="1:12" ht="30" customHeight="1" x14ac:dyDescent="0.3">
      <c r="A18" s="259" t="str">
        <f>IF(L18=1,"FRMS-OUT-"&amp;TEXT(COUNTIF($L$3:L18, "1"), "0"), "")</f>
        <v>FRMS-OUT-16</v>
      </c>
      <c r="B18" s="169" t="s">
        <v>43</v>
      </c>
      <c r="C18" s="154" t="s">
        <v>686</v>
      </c>
      <c r="D18" s="153"/>
      <c r="E18" s="168"/>
      <c r="F18" s="137"/>
      <c r="G18" s="137" t="s">
        <v>101</v>
      </c>
      <c r="H18" s="147">
        <f>COUNTIFS(B:B,"=Informational",G:G,"=Exception")</f>
        <v>0</v>
      </c>
      <c r="I18" s="116">
        <f t="shared" si="0"/>
        <v>1</v>
      </c>
      <c r="J18" s="116">
        <f t="shared" si="1"/>
        <v>0</v>
      </c>
      <c r="K18" s="116">
        <f t="shared" si="2"/>
        <v>0</v>
      </c>
      <c r="L18" s="115">
        <v>1</v>
      </c>
    </row>
    <row r="19" spans="1:12" ht="30" customHeight="1" x14ac:dyDescent="0.3">
      <c r="A19" s="259" t="str">
        <f>IF(L19=1,"FRMS-OUT-"&amp;TEXT(COUNTIF($L$3:L19, "1"), "0"), "")</f>
        <v>FRMS-OUT-17</v>
      </c>
      <c r="B19" s="169" t="s">
        <v>43</v>
      </c>
      <c r="C19" s="154" t="s">
        <v>687</v>
      </c>
      <c r="D19" s="138"/>
      <c r="E19" s="168"/>
      <c r="F19" s="137"/>
      <c r="G19" s="137" t="s">
        <v>101</v>
      </c>
      <c r="I19" s="116">
        <f t="shared" si="0"/>
        <v>1</v>
      </c>
      <c r="J19" s="116">
        <f t="shared" si="1"/>
        <v>0</v>
      </c>
      <c r="K19" s="116">
        <f t="shared" si="2"/>
        <v>0</v>
      </c>
      <c r="L19" s="115">
        <v>1</v>
      </c>
    </row>
    <row r="20" spans="1:12" ht="30" customHeight="1" x14ac:dyDescent="0.3">
      <c r="A20" s="259" t="str">
        <f>IF(L20=1,"FRMS-OUT-"&amp;TEXT(COUNTIF($L$3:L20, "1"), "0"), "")</f>
        <v>FRMS-OUT-18</v>
      </c>
      <c r="B20" s="169" t="s">
        <v>43</v>
      </c>
      <c r="C20" s="154" t="s">
        <v>688</v>
      </c>
      <c r="D20" s="138"/>
      <c r="E20" s="168"/>
      <c r="F20" s="137"/>
      <c r="G20" s="137" t="s">
        <v>101</v>
      </c>
      <c r="I20" s="116">
        <f t="shared" si="0"/>
        <v>1</v>
      </c>
      <c r="J20" s="116">
        <f t="shared" si="1"/>
        <v>0</v>
      </c>
      <c r="K20" s="116">
        <f t="shared" si="2"/>
        <v>0</v>
      </c>
      <c r="L20" s="115">
        <v>1</v>
      </c>
    </row>
    <row r="21" spans="1:12" ht="30" customHeight="1" x14ac:dyDescent="0.3">
      <c r="A21" s="259" t="str">
        <f>IF(L21=1,"FRMS-OUT-"&amp;TEXT(COUNTIF($L$3:L21, "1"), "0"), "")</f>
        <v>FRMS-OUT-19</v>
      </c>
      <c r="B21" s="169" t="s">
        <v>43</v>
      </c>
      <c r="C21" s="154" t="s">
        <v>689</v>
      </c>
      <c r="D21" s="138"/>
      <c r="E21" s="168"/>
      <c r="F21" s="137"/>
      <c r="G21" s="137" t="s">
        <v>101</v>
      </c>
      <c r="I21" s="116">
        <f t="shared" si="0"/>
        <v>1</v>
      </c>
      <c r="J21" s="116">
        <f t="shared" si="1"/>
        <v>0</v>
      </c>
      <c r="K21" s="116">
        <f t="shared" si="2"/>
        <v>0</v>
      </c>
      <c r="L21" s="115">
        <v>1</v>
      </c>
    </row>
    <row r="22" spans="1:12" ht="30" customHeight="1" x14ac:dyDescent="0.3">
      <c r="A22" s="259" t="str">
        <f>IF(L22=1,"FRMS-OUT-"&amp;TEXT(COUNTIF($L$3:L22, "1"), "0"), "")</f>
        <v>FRMS-OUT-20</v>
      </c>
      <c r="B22" s="169" t="s">
        <v>43</v>
      </c>
      <c r="C22" s="154" t="s">
        <v>690</v>
      </c>
      <c r="D22" s="138"/>
      <c r="E22" s="168"/>
      <c r="F22" s="137"/>
      <c r="G22" s="137" t="s">
        <v>101</v>
      </c>
      <c r="I22" s="116">
        <f t="shared" si="0"/>
        <v>1</v>
      </c>
      <c r="J22" s="116">
        <f t="shared" si="1"/>
        <v>0</v>
      </c>
      <c r="K22" s="116">
        <f t="shared" si="2"/>
        <v>0</v>
      </c>
      <c r="L22" s="115">
        <v>1</v>
      </c>
    </row>
    <row r="23" spans="1:12" ht="30" customHeight="1" x14ac:dyDescent="0.3">
      <c r="A23" s="259" t="str">
        <f>IF(L23=1,"FRMS-OUT-"&amp;TEXT(COUNTIF($L$3:L23, "1"), "0"), "")</f>
        <v>FRMS-OUT-21</v>
      </c>
      <c r="B23" s="169" t="s">
        <v>43</v>
      </c>
      <c r="C23" s="154" t="s">
        <v>691</v>
      </c>
      <c r="D23" s="138"/>
      <c r="E23" s="168"/>
      <c r="F23" s="137"/>
      <c r="G23" s="137" t="s">
        <v>101</v>
      </c>
      <c r="I23" s="116">
        <f t="shared" si="0"/>
        <v>1</v>
      </c>
      <c r="J23" s="116">
        <f t="shared" si="1"/>
        <v>0</v>
      </c>
      <c r="K23" s="116">
        <f t="shared" si="2"/>
        <v>0</v>
      </c>
      <c r="L23" s="115">
        <v>1</v>
      </c>
    </row>
    <row r="24" spans="1:12" ht="30" customHeight="1" x14ac:dyDescent="0.3">
      <c r="A24" s="259" t="str">
        <f>IF(L24=1,"FRMS-OUT-"&amp;TEXT(COUNTIF($L$3:L24, "1"), "0"), "")</f>
        <v>FRMS-OUT-22</v>
      </c>
      <c r="B24" s="169" t="s">
        <v>43</v>
      </c>
      <c r="C24" s="154" t="s">
        <v>692</v>
      </c>
      <c r="D24" s="138"/>
      <c r="E24" s="168"/>
      <c r="F24" s="137"/>
      <c r="G24" s="137" t="s">
        <v>101</v>
      </c>
      <c r="I24" s="116">
        <f t="shared" si="0"/>
        <v>1</v>
      </c>
      <c r="J24" s="116">
        <f t="shared" si="1"/>
        <v>0</v>
      </c>
      <c r="K24" s="116">
        <f t="shared" si="2"/>
        <v>0</v>
      </c>
      <c r="L24" s="115">
        <v>1</v>
      </c>
    </row>
    <row r="25" spans="1:12" ht="30" customHeight="1" x14ac:dyDescent="0.3">
      <c r="A25" s="259" t="str">
        <f>IF(L25=1,"FRMS-OUT-"&amp;TEXT(COUNTIF($L$3:L25, "1"), "0"), "")</f>
        <v>FRMS-OUT-23</v>
      </c>
      <c r="B25" s="169" t="s">
        <v>43</v>
      </c>
      <c r="C25" s="154" t="s">
        <v>693</v>
      </c>
      <c r="D25" s="138"/>
      <c r="E25" s="168"/>
      <c r="F25" s="137"/>
      <c r="G25" s="137" t="s">
        <v>101</v>
      </c>
      <c r="I25" s="116">
        <f t="shared" si="0"/>
        <v>1</v>
      </c>
      <c r="J25" s="116">
        <f t="shared" si="1"/>
        <v>0</v>
      </c>
      <c r="K25" s="116">
        <f t="shared" si="2"/>
        <v>0</v>
      </c>
      <c r="L25" s="115">
        <v>1</v>
      </c>
    </row>
    <row r="26" spans="1:12" ht="30" customHeight="1" x14ac:dyDescent="0.3">
      <c r="A26" s="259" t="str">
        <f>IF(L26=1,"FRMS-OUT-"&amp;TEXT(COUNTIF($L$3:L26, "1"), "0"), "")</f>
        <v>FRMS-OUT-24</v>
      </c>
      <c r="B26" s="169" t="s">
        <v>43</v>
      </c>
      <c r="C26" s="154" t="s">
        <v>645</v>
      </c>
      <c r="D26" s="138"/>
      <c r="E26" s="168"/>
      <c r="F26" s="137"/>
      <c r="G26" s="137" t="s">
        <v>101</v>
      </c>
      <c r="I26" s="116">
        <f t="shared" si="0"/>
        <v>1</v>
      </c>
      <c r="J26" s="116">
        <f t="shared" si="1"/>
        <v>0</v>
      </c>
      <c r="K26" s="116">
        <f t="shared" si="2"/>
        <v>0</v>
      </c>
      <c r="L26" s="115">
        <v>1</v>
      </c>
    </row>
    <row r="27" spans="1:12" ht="30" customHeight="1" x14ac:dyDescent="0.3">
      <c r="A27" s="259" t="str">
        <f>IF(L27=1,"FRMS-OUT-"&amp;TEXT(COUNTIF($L$3:L27, "1"), "0"), "")</f>
        <v>FRMS-OUT-25</v>
      </c>
      <c r="B27" s="169" t="s">
        <v>43</v>
      </c>
      <c r="C27" s="154" t="s">
        <v>646</v>
      </c>
      <c r="D27" s="138"/>
      <c r="E27" s="168"/>
      <c r="F27" s="137"/>
      <c r="G27" s="137" t="s">
        <v>101</v>
      </c>
      <c r="I27" s="116">
        <f t="shared" si="0"/>
        <v>1</v>
      </c>
      <c r="J27" s="116">
        <f t="shared" si="1"/>
        <v>0</v>
      </c>
      <c r="K27" s="116">
        <f t="shared" si="2"/>
        <v>0</v>
      </c>
      <c r="L27" s="115">
        <v>1</v>
      </c>
    </row>
    <row r="28" spans="1:12" ht="30" customHeight="1" x14ac:dyDescent="0.3">
      <c r="A28" s="259" t="str">
        <f>IF(L28=1,"FRMS-OUT-"&amp;TEXT(COUNTIF($L$3:L28, "1"), "0"), "")</f>
        <v>FRMS-OUT-26</v>
      </c>
      <c r="B28" s="169" t="s">
        <v>43</v>
      </c>
      <c r="C28" s="154" t="s">
        <v>693</v>
      </c>
      <c r="D28" s="138"/>
      <c r="E28" s="168"/>
      <c r="F28" s="137"/>
      <c r="G28" s="137" t="s">
        <v>101</v>
      </c>
      <c r="I28" s="116">
        <f t="shared" si="0"/>
        <v>1</v>
      </c>
      <c r="J28" s="116">
        <f t="shared" si="1"/>
        <v>0</v>
      </c>
      <c r="K28" s="116">
        <f t="shared" si="2"/>
        <v>0</v>
      </c>
      <c r="L28" s="115">
        <v>1</v>
      </c>
    </row>
    <row r="29" spans="1:12" ht="31.2" x14ac:dyDescent="0.3">
      <c r="A29" s="316"/>
      <c r="B29" s="126"/>
      <c r="C29" s="193" t="s">
        <v>655</v>
      </c>
      <c r="D29" s="194"/>
      <c r="E29" s="180"/>
      <c r="F29" s="181"/>
      <c r="G29" s="268"/>
      <c r="I29" s="116"/>
      <c r="J29" s="116"/>
      <c r="K29" s="116"/>
    </row>
    <row r="30" spans="1:12" x14ac:dyDescent="0.3">
      <c r="A30" s="259" t="str">
        <f>IF(L30=1,"FRMS-OUT-"&amp;TEXT(COUNTIF($L$3:L30, "1"), "0"), "")</f>
        <v>FRMS-OUT-27</v>
      </c>
      <c r="B30" s="260" t="s">
        <v>43</v>
      </c>
      <c r="C30" s="278" t="s">
        <v>656</v>
      </c>
      <c r="D30" s="185"/>
      <c r="E30" s="186"/>
      <c r="F30" s="187"/>
      <c r="G30" s="187" t="s">
        <v>101</v>
      </c>
      <c r="I30" s="116">
        <f>IF(NOT(ISBLANK($B30)),VLOOKUP($B30,specdata,2,FALSE()),"")</f>
        <v>1</v>
      </c>
      <c r="J30" s="116">
        <f>VLOOKUP(G30,AvailabilityData,2,FALSE())</f>
        <v>0</v>
      </c>
      <c r="K30" s="116">
        <f>I30*J30</f>
        <v>0</v>
      </c>
      <c r="L30" s="115">
        <v>1</v>
      </c>
    </row>
    <row r="31" spans="1:12" ht="30" customHeight="1" x14ac:dyDescent="0.3">
      <c r="A31" s="259" t="str">
        <f>IF(L31=1,"FRMS-OUT-"&amp;TEXT(COUNTIF($L$3:L31, "1"), "0"), "")</f>
        <v>FRMS-OUT-28</v>
      </c>
      <c r="B31" s="169" t="s">
        <v>43</v>
      </c>
      <c r="C31" s="154" t="s">
        <v>657</v>
      </c>
      <c r="D31" s="138"/>
      <c r="E31" s="168"/>
      <c r="F31" s="137"/>
      <c r="G31" s="137" t="s">
        <v>101</v>
      </c>
      <c r="I31" s="116">
        <f>IF(NOT(ISBLANK($B31)),VLOOKUP($B31,specdata,2,FALSE()),"")</f>
        <v>1</v>
      </c>
      <c r="J31" s="116">
        <f>VLOOKUP(G31,AvailabilityData,2,FALSE())</f>
        <v>0</v>
      </c>
      <c r="K31" s="116">
        <f>I31*J31</f>
        <v>0</v>
      </c>
      <c r="L31" s="115">
        <v>1</v>
      </c>
    </row>
    <row r="32" spans="1:12" ht="30" customHeight="1" x14ac:dyDescent="0.3">
      <c r="A32" s="259" t="str">
        <f>IF(L32=1,"FRMS-OUT-"&amp;TEXT(COUNTIF($L$3:L32, "1"), "0"), "")</f>
        <v>FRMS-OUT-29</v>
      </c>
      <c r="B32" s="169" t="s">
        <v>43</v>
      </c>
      <c r="C32" s="273" t="s">
        <v>658</v>
      </c>
      <c r="D32" s="323"/>
      <c r="E32" s="175"/>
      <c r="F32" s="176"/>
      <c r="G32" s="176" t="s">
        <v>101</v>
      </c>
      <c r="I32" s="116">
        <f>IF(NOT(ISBLANK($B32)),VLOOKUP($B32,specdata,2,FALSE()),"")</f>
        <v>1</v>
      </c>
      <c r="J32" s="116">
        <f>VLOOKUP(G32,AvailabilityData,2,FALSE())</f>
        <v>0</v>
      </c>
      <c r="K32" s="116">
        <f>I32*J32</f>
        <v>0</v>
      </c>
      <c r="L32" s="115">
        <v>1</v>
      </c>
    </row>
    <row r="33" spans="1:12" ht="30" customHeight="1" x14ac:dyDescent="0.3">
      <c r="A33" s="316"/>
      <c r="B33" s="126"/>
      <c r="C33" s="193" t="s">
        <v>659</v>
      </c>
      <c r="D33" s="194"/>
      <c r="E33" s="180"/>
      <c r="F33" s="181"/>
      <c r="G33" s="268"/>
      <c r="I33" s="116"/>
      <c r="J33" s="116"/>
      <c r="K33" s="116"/>
    </row>
    <row r="34" spans="1:12" ht="30" customHeight="1" x14ac:dyDescent="0.3">
      <c r="A34" s="259" t="str">
        <f>IF(L34=1,"FRMS-OUT-"&amp;TEXT(COUNTIF($L$3:L34, "1"), "0"), "")</f>
        <v>FRMS-OUT-30</v>
      </c>
      <c r="B34" s="260" t="s">
        <v>43</v>
      </c>
      <c r="C34" s="278" t="s">
        <v>660</v>
      </c>
      <c r="D34" s="185"/>
      <c r="E34" s="186"/>
      <c r="F34" s="187"/>
      <c r="G34" s="187" t="s">
        <v>101</v>
      </c>
      <c r="I34" s="116">
        <f t="shared" ref="I34:I40" si="3">IF(NOT(ISBLANK($B34)),VLOOKUP($B34,specdata,2,FALSE()),"")</f>
        <v>1</v>
      </c>
      <c r="J34" s="116">
        <f t="shared" ref="J34:J40" si="4">VLOOKUP(G34,AvailabilityData,2,FALSE())</f>
        <v>0</v>
      </c>
      <c r="K34" s="116">
        <f t="shared" ref="K34:K40" si="5">I34*J34</f>
        <v>0</v>
      </c>
      <c r="L34" s="115">
        <v>1</v>
      </c>
    </row>
    <row r="35" spans="1:12" ht="30" customHeight="1" x14ac:dyDescent="0.3">
      <c r="A35" s="259" t="str">
        <f>IF(L34=1,"FRMS-OUT-"&amp;TEXT(COUNTIF($L$3:L34, "1"), "0"), "")</f>
        <v>FRMS-OUT-30</v>
      </c>
      <c r="B35" s="169" t="s">
        <v>43</v>
      </c>
      <c r="C35" s="154" t="s">
        <v>661</v>
      </c>
      <c r="D35" s="138"/>
      <c r="E35" s="168"/>
      <c r="F35" s="137"/>
      <c r="G35" s="137" t="s">
        <v>101</v>
      </c>
      <c r="I35" s="116">
        <f t="shared" si="3"/>
        <v>1</v>
      </c>
      <c r="J35" s="116">
        <f t="shared" si="4"/>
        <v>0</v>
      </c>
      <c r="K35" s="116">
        <f t="shared" si="5"/>
        <v>0</v>
      </c>
      <c r="L35" s="115">
        <v>1</v>
      </c>
    </row>
    <row r="36" spans="1:12" ht="30" customHeight="1" x14ac:dyDescent="0.3">
      <c r="A36" s="259" t="str">
        <f>IF(L35=1,"FRMS-OUT-"&amp;TEXT(COUNTIF($L$3:L35, "1"), "0"), "")</f>
        <v>FRMS-OUT-31</v>
      </c>
      <c r="B36" s="169" t="s">
        <v>43</v>
      </c>
      <c r="C36" s="154" t="s">
        <v>662</v>
      </c>
      <c r="D36" s="138"/>
      <c r="E36" s="168"/>
      <c r="F36" s="137"/>
      <c r="G36" s="137" t="s">
        <v>101</v>
      </c>
      <c r="I36" s="116">
        <f t="shared" si="3"/>
        <v>1</v>
      </c>
      <c r="J36" s="116">
        <f t="shared" si="4"/>
        <v>0</v>
      </c>
      <c r="K36" s="116">
        <f t="shared" si="5"/>
        <v>0</v>
      </c>
      <c r="L36" s="115">
        <v>1</v>
      </c>
    </row>
    <row r="37" spans="1:12" ht="30" customHeight="1" x14ac:dyDescent="0.3">
      <c r="A37" s="259" t="str">
        <f>IF(L36=1,"FRMS-OUT-"&amp;TEXT(COUNTIF($L$3:L36, "1"), "0"), "")</f>
        <v>FRMS-OUT-32</v>
      </c>
      <c r="B37" s="169" t="s">
        <v>43</v>
      </c>
      <c r="C37" s="164" t="s">
        <v>694</v>
      </c>
      <c r="D37" s="138"/>
      <c r="E37" s="168"/>
      <c r="F37" s="137"/>
      <c r="G37" s="137" t="s">
        <v>101</v>
      </c>
      <c r="I37" s="116">
        <f t="shared" si="3"/>
        <v>1</v>
      </c>
      <c r="J37" s="116">
        <f t="shared" si="4"/>
        <v>0</v>
      </c>
      <c r="K37" s="116">
        <f t="shared" si="5"/>
        <v>0</v>
      </c>
      <c r="L37" s="115">
        <v>1</v>
      </c>
    </row>
    <row r="38" spans="1:12" ht="30" customHeight="1" x14ac:dyDescent="0.3">
      <c r="A38" s="259" t="str">
        <f>IF(L37=1,"FRMS-OUT-"&amp;TEXT(COUNTIF($L$3:L37, "1"), "0"), "")</f>
        <v>FRMS-OUT-33</v>
      </c>
      <c r="B38" s="169" t="s">
        <v>43</v>
      </c>
      <c r="C38" s="164" t="s">
        <v>668</v>
      </c>
      <c r="D38" s="138"/>
      <c r="E38" s="168"/>
      <c r="F38" s="137"/>
      <c r="G38" s="137" t="s">
        <v>101</v>
      </c>
      <c r="I38" s="116">
        <f t="shared" si="3"/>
        <v>1</v>
      </c>
      <c r="J38" s="116">
        <f t="shared" si="4"/>
        <v>0</v>
      </c>
      <c r="K38" s="116">
        <f t="shared" si="5"/>
        <v>0</v>
      </c>
      <c r="L38" s="115">
        <v>1</v>
      </c>
    </row>
    <row r="39" spans="1:12" ht="31.2" x14ac:dyDescent="0.3">
      <c r="A39" s="259" t="str">
        <f>IF(L38=1,"FRMS-OUT-"&amp;TEXT(COUNTIF($L$3:L38, "1"), "0"), "")</f>
        <v>FRMS-OUT-34</v>
      </c>
      <c r="B39" s="169" t="s">
        <v>43</v>
      </c>
      <c r="C39" s="164" t="s">
        <v>667</v>
      </c>
      <c r="D39" s="138"/>
      <c r="E39" s="168"/>
      <c r="F39" s="137"/>
      <c r="G39" s="137" t="s">
        <v>101</v>
      </c>
      <c r="I39" s="116">
        <f t="shared" si="3"/>
        <v>1</v>
      </c>
      <c r="J39" s="116">
        <f t="shared" si="4"/>
        <v>0</v>
      </c>
      <c r="K39" s="116">
        <f t="shared" si="5"/>
        <v>0</v>
      </c>
      <c r="L39" s="115">
        <v>1</v>
      </c>
    </row>
    <row r="40" spans="1:12" ht="30" customHeight="1" x14ac:dyDescent="0.3">
      <c r="A40" s="259" t="str">
        <f>IF(L39=1,"FRMS-OUT-"&amp;TEXT(COUNTIF($L$3:L39, "1"), "0"), "")</f>
        <v>FRMS-OUT-35</v>
      </c>
      <c r="B40" s="169" t="s">
        <v>43</v>
      </c>
      <c r="C40" s="170" t="s">
        <v>669</v>
      </c>
      <c r="D40" s="323"/>
      <c r="E40" s="175"/>
      <c r="F40" s="176"/>
      <c r="G40" s="176" t="s">
        <v>101</v>
      </c>
      <c r="I40" s="116">
        <f t="shared" si="3"/>
        <v>1</v>
      </c>
      <c r="J40" s="116">
        <f t="shared" si="4"/>
        <v>0</v>
      </c>
      <c r="K40" s="116">
        <f t="shared" si="5"/>
        <v>0</v>
      </c>
      <c r="L40" s="115">
        <v>1</v>
      </c>
    </row>
    <row r="41" spans="1:12" ht="30" customHeight="1" x14ac:dyDescent="0.3">
      <c r="A41" s="316"/>
      <c r="B41" s="126"/>
      <c r="C41" s="193" t="s">
        <v>168</v>
      </c>
      <c r="D41" s="194"/>
      <c r="E41" s="180"/>
      <c r="F41" s="181"/>
      <c r="G41" s="268"/>
      <c r="I41" s="116"/>
      <c r="J41" s="116"/>
      <c r="K41" s="116"/>
    </row>
    <row r="42" spans="1:12" x14ac:dyDescent="0.3">
      <c r="A42" s="259" t="str">
        <f>IF(L40=1,"FRMS-OUT-"&amp;TEXT(COUNTIF($L$3:L40, "1"), "0"), "")</f>
        <v>FRMS-OUT-36</v>
      </c>
      <c r="B42" s="133" t="s">
        <v>43</v>
      </c>
      <c r="C42" s="164" t="s">
        <v>185</v>
      </c>
      <c r="D42" s="138"/>
      <c r="E42" s="168"/>
      <c r="F42" s="187"/>
      <c r="G42" s="187" t="s">
        <v>101</v>
      </c>
      <c r="I42" s="116">
        <f t="shared" ref="I42:I44" si="6">IF(NOT(ISBLANK($B42)),VLOOKUP($B42,specdata,2,FALSE()),"")</f>
        <v>1</v>
      </c>
      <c r="J42" s="116">
        <f t="shared" ref="J42:J44" si="7">VLOOKUP(G42,AvailabilityData,2,FALSE())</f>
        <v>0</v>
      </c>
      <c r="K42" s="116">
        <f t="shared" ref="K42:K44" si="8">I42*J42</f>
        <v>0</v>
      </c>
      <c r="L42" s="115">
        <v>1</v>
      </c>
    </row>
    <row r="43" spans="1:12" ht="30" customHeight="1" x14ac:dyDescent="0.3">
      <c r="A43" s="259" t="str">
        <f>IF(L42=1,"FRMS-OUT-"&amp;TEXT(COUNTIF($L$3:L42, "1"), "0"), "")</f>
        <v>FRMS-OUT-37</v>
      </c>
      <c r="B43" s="133" t="s">
        <v>43</v>
      </c>
      <c r="C43" s="154" t="s">
        <v>170</v>
      </c>
      <c r="D43" s="138"/>
      <c r="E43" s="168"/>
      <c r="F43" s="137"/>
      <c r="G43" s="137" t="s">
        <v>101</v>
      </c>
      <c r="I43" s="116">
        <f t="shared" si="6"/>
        <v>1</v>
      </c>
      <c r="J43" s="116">
        <f t="shared" si="7"/>
        <v>0</v>
      </c>
      <c r="K43" s="116">
        <f t="shared" si="8"/>
        <v>0</v>
      </c>
      <c r="L43" s="115">
        <v>1</v>
      </c>
    </row>
    <row r="44" spans="1:12" ht="30" customHeight="1" x14ac:dyDescent="0.3">
      <c r="A44" s="259" t="str">
        <f>IF(L43=1,"FRMS-OUT-"&amp;TEXT(COUNTIF($L$3:L43, "1"), "0"), "")</f>
        <v>FRMS-OUT-38</v>
      </c>
      <c r="B44" s="133" t="s">
        <v>43</v>
      </c>
      <c r="C44" s="164" t="s">
        <v>207</v>
      </c>
      <c r="D44" s="138"/>
      <c r="E44" s="168"/>
      <c r="F44" s="176"/>
      <c r="G44" s="176" t="s">
        <v>101</v>
      </c>
      <c r="I44" s="116">
        <f t="shared" si="6"/>
        <v>1</v>
      </c>
      <c r="J44" s="116">
        <f t="shared" si="7"/>
        <v>0</v>
      </c>
      <c r="K44" s="116">
        <f t="shared" si="8"/>
        <v>0</v>
      </c>
      <c r="L44" s="115">
        <v>1</v>
      </c>
    </row>
    <row r="45" spans="1:12" ht="30" customHeight="1" x14ac:dyDescent="0.3">
      <c r="A45" s="316"/>
      <c r="B45" s="126"/>
      <c r="C45" s="193" t="s">
        <v>165</v>
      </c>
      <c r="D45" s="194"/>
      <c r="E45" s="180"/>
      <c r="F45" s="181"/>
      <c r="G45" s="268"/>
      <c r="I45" s="116"/>
      <c r="J45" s="116"/>
      <c r="K45" s="116"/>
    </row>
    <row r="46" spans="1:12" ht="31.2" x14ac:dyDescent="0.3">
      <c r="A46" s="259" t="str">
        <f>IF(L44=1,"FRMS-OUT-"&amp;TEXT(COUNTIF($L$3:L44, "1"), "0"), "")</f>
        <v>FRMS-OUT-39</v>
      </c>
      <c r="B46" s="260" t="s">
        <v>43</v>
      </c>
      <c r="C46" s="184" t="s">
        <v>208</v>
      </c>
      <c r="D46" s="185"/>
      <c r="E46" s="186"/>
      <c r="F46" s="187"/>
      <c r="G46" s="187" t="s">
        <v>101</v>
      </c>
      <c r="I46" s="116">
        <f>IF(NOT(ISBLANK($B46)),VLOOKUP($B46,specdata,2,FALSE()),"")</f>
        <v>1</v>
      </c>
      <c r="J46" s="116">
        <f>VLOOKUP(G46,AvailabilityData,2,FALSE())</f>
        <v>0</v>
      </c>
      <c r="K46" s="116">
        <f>I46*J46</f>
        <v>0</v>
      </c>
      <c r="L46" s="115">
        <v>1</v>
      </c>
    </row>
    <row r="47" spans="1:12" ht="30" customHeight="1" x14ac:dyDescent="0.3">
      <c r="A47" s="259" t="str">
        <f>IF(L46=1,"FRMS-OUT-"&amp;TEXT(COUNTIF($L$3:L46, "1"), "0"), "")</f>
        <v>FRMS-OUT-40</v>
      </c>
      <c r="B47" s="133" t="s">
        <v>43</v>
      </c>
      <c r="C47" s="164" t="s">
        <v>209</v>
      </c>
      <c r="D47" s="138"/>
      <c r="E47" s="326"/>
      <c r="F47" s="137"/>
      <c r="G47" s="137" t="s">
        <v>101</v>
      </c>
      <c r="I47" s="116">
        <f>IF(NOT(ISBLANK($B47)),VLOOKUP($B47,specdata,2,FALSE()),"")</f>
        <v>1</v>
      </c>
      <c r="J47" s="116">
        <f>VLOOKUP(G47,AvailabilityData,2,FALSE())</f>
        <v>0</v>
      </c>
      <c r="K47" s="116">
        <f>I47*J47</f>
        <v>0</v>
      </c>
      <c r="L47" s="115">
        <v>1</v>
      </c>
    </row>
    <row r="48" spans="1:12" ht="45" customHeight="1" x14ac:dyDescent="0.3">
      <c r="A48" s="259" t="str">
        <f>IF(L47=1,"FRMS-OUT-"&amp;TEXT(COUNTIF($L$3:L47, "1"), "0"), "")</f>
        <v>FRMS-OUT-41</v>
      </c>
      <c r="B48" s="133" t="s">
        <v>43</v>
      </c>
      <c r="C48" s="164" t="s">
        <v>210</v>
      </c>
      <c r="D48" s="326"/>
      <c r="E48" s="326"/>
      <c r="F48" s="137"/>
      <c r="G48" s="137" t="s">
        <v>101</v>
      </c>
      <c r="I48" s="116">
        <f>IF(NOT(ISBLANK($B48)),VLOOKUP($B48,specdata,2,FALSE()),"")</f>
        <v>1</v>
      </c>
      <c r="J48" s="116">
        <f>VLOOKUP(G48,AvailabilityData,2,FALSE())</f>
        <v>0</v>
      </c>
      <c r="K48" s="116">
        <f>I48*J48</f>
        <v>0</v>
      </c>
      <c r="L48" s="115">
        <v>1</v>
      </c>
    </row>
    <row r="49" spans="1:12" ht="30" customHeight="1" x14ac:dyDescent="0.3">
      <c r="A49" s="259" t="str">
        <f>IF(L48=1,"FRMS-OUT-"&amp;TEXT(COUNTIF($L$3:L48, "1"), "0"), "")</f>
        <v>FRMS-OUT-42</v>
      </c>
      <c r="B49" s="169" t="s">
        <v>43</v>
      </c>
      <c r="C49" s="170" t="s">
        <v>211</v>
      </c>
      <c r="D49" s="327"/>
      <c r="E49" s="327"/>
      <c r="F49" s="176"/>
      <c r="G49" s="176" t="s">
        <v>101</v>
      </c>
      <c r="I49" s="116">
        <f>IF(NOT(ISBLANK($B49)),VLOOKUP($B49,specdata,2,FALSE()),"")</f>
        <v>1</v>
      </c>
      <c r="J49" s="116">
        <f>VLOOKUP(G49,AvailabilityData,2,FALSE())</f>
        <v>0</v>
      </c>
      <c r="K49" s="116">
        <f>I49*J49</f>
        <v>0</v>
      </c>
      <c r="L49" s="115">
        <v>1</v>
      </c>
    </row>
    <row r="50" spans="1:12" ht="30" customHeight="1" x14ac:dyDescent="0.3">
      <c r="A50" s="448"/>
      <c r="B50" s="126"/>
      <c r="C50" s="193" t="s">
        <v>174</v>
      </c>
      <c r="D50" s="130"/>
      <c r="E50" s="130"/>
      <c r="F50" s="181"/>
      <c r="G50" s="268"/>
      <c r="I50" s="116"/>
      <c r="J50" s="116"/>
      <c r="K50" s="116"/>
    </row>
    <row r="51" spans="1:12" ht="31.2" x14ac:dyDescent="0.3">
      <c r="A51" s="259" t="str">
        <f>IF(L49=1,"FRMS-OUT-"&amp;TEXT(COUNTIF($L$3:L49, "1"), "0"), "")</f>
        <v>FRMS-OUT-43</v>
      </c>
      <c r="B51" s="183" t="s">
        <v>43</v>
      </c>
      <c r="C51" s="184" t="s">
        <v>695</v>
      </c>
      <c r="D51" s="328"/>
      <c r="E51" s="328"/>
      <c r="F51" s="187"/>
      <c r="G51" s="187" t="s">
        <v>101</v>
      </c>
      <c r="I51" s="116">
        <f>IF(NOT(ISBLANK($B51)),VLOOKUP($B51,specdata,2,FALSE()),"")</f>
        <v>1</v>
      </c>
      <c r="J51" s="116">
        <f>VLOOKUP(G51,AvailabilityData,2,FALSE())</f>
        <v>0</v>
      </c>
      <c r="K51" s="116">
        <f>I51*J51</f>
        <v>0</v>
      </c>
      <c r="L51" s="115">
        <v>1</v>
      </c>
    </row>
    <row r="52" spans="1:12" ht="30" customHeight="1" x14ac:dyDescent="0.3">
      <c r="A52" s="259" t="str">
        <f>IF(L51=1,"FRMS-OUT-"&amp;TEXT(COUNTIF($L$3:L51, "1"), "0"), "")</f>
        <v>FRMS-OUT-44</v>
      </c>
      <c r="B52" s="133" t="s">
        <v>43</v>
      </c>
      <c r="C52" s="164" t="s">
        <v>193</v>
      </c>
      <c r="D52" s="326"/>
      <c r="E52" s="326"/>
      <c r="F52" s="137"/>
      <c r="G52" s="137" t="s">
        <v>101</v>
      </c>
      <c r="I52" s="116">
        <f>IF(NOT(ISBLANK($B52)),VLOOKUP($B52,specdata,2,FALSE()),"")</f>
        <v>1</v>
      </c>
      <c r="J52" s="116">
        <f>VLOOKUP(G52,AvailabilityData,2,FALSE())</f>
        <v>0</v>
      </c>
      <c r="K52" s="116">
        <f>I52*J52</f>
        <v>0</v>
      </c>
      <c r="L52" s="115">
        <v>1</v>
      </c>
    </row>
    <row r="53" spans="1:12" ht="31.2" x14ac:dyDescent="0.3">
      <c r="A53" s="259" t="str">
        <f>IF(L52=1,"FRMS-OUT-"&amp;TEXT(COUNTIF($L$3:L52, "1"), "0"), "")</f>
        <v>FRMS-OUT-45</v>
      </c>
      <c r="B53" s="133" t="s">
        <v>43</v>
      </c>
      <c r="C53" s="164" t="s">
        <v>696</v>
      </c>
      <c r="D53" s="326"/>
      <c r="E53" s="326"/>
      <c r="F53" s="137"/>
      <c r="G53" s="137" t="s">
        <v>101</v>
      </c>
      <c r="I53" s="116">
        <f>IF(NOT(ISBLANK($B53)),VLOOKUP($B53,specdata,2,FALSE()),"")</f>
        <v>1</v>
      </c>
      <c r="J53" s="116">
        <f>VLOOKUP(G53,AvailabilityData,2,FALSE())</f>
        <v>0</v>
      </c>
      <c r="K53" s="116">
        <f>I53*J53</f>
        <v>0</v>
      </c>
      <c r="L53" s="115">
        <v>1</v>
      </c>
    </row>
    <row r="54" spans="1:12" ht="30" customHeight="1" x14ac:dyDescent="0.3">
      <c r="A54" s="115"/>
      <c r="H54" s="115"/>
    </row>
    <row r="55" spans="1:12" ht="15" customHeight="1" x14ac:dyDescent="0.3">
      <c r="H55" s="115"/>
    </row>
    <row r="56" spans="1:12" ht="30" customHeight="1" x14ac:dyDescent="0.3">
      <c r="H56" s="115"/>
    </row>
    <row r="57" spans="1:12" ht="30" customHeight="1" x14ac:dyDescent="0.3">
      <c r="H57" s="115"/>
    </row>
    <row r="58" spans="1:12" ht="30" customHeight="1" x14ac:dyDescent="0.3">
      <c r="H58" s="115"/>
    </row>
    <row r="59" spans="1:12" ht="30" customHeight="1" x14ac:dyDescent="0.3">
      <c r="H59" s="115"/>
    </row>
    <row r="60" spans="1:12" ht="30" customHeight="1" x14ac:dyDescent="0.3">
      <c r="H60" s="115"/>
    </row>
    <row r="61" spans="1:12" ht="30" customHeight="1" x14ac:dyDescent="0.3">
      <c r="H61" s="115"/>
    </row>
    <row r="62" spans="1:12" ht="30" customHeight="1" x14ac:dyDescent="0.3">
      <c r="H62" s="115"/>
    </row>
    <row r="63" spans="1:12" ht="30" customHeight="1" x14ac:dyDescent="0.3">
      <c r="H63" s="115"/>
    </row>
    <row r="64" spans="1:12" ht="30" customHeight="1" x14ac:dyDescent="0.3">
      <c r="H64" s="115"/>
    </row>
    <row r="65" spans="8:8" ht="30" customHeight="1" x14ac:dyDescent="0.3">
      <c r="H65" s="115"/>
    </row>
    <row r="66" spans="8:8" ht="30" customHeight="1" x14ac:dyDescent="0.3">
      <c r="H66" s="115"/>
    </row>
    <row r="67" spans="8:8" ht="30" customHeight="1" x14ac:dyDescent="0.3">
      <c r="H67" s="115"/>
    </row>
    <row r="68" spans="8:8" ht="30" customHeight="1" x14ac:dyDescent="0.3">
      <c r="H68" s="115"/>
    </row>
    <row r="69" spans="8:8" ht="30" customHeight="1" x14ac:dyDescent="0.3">
      <c r="H69" s="115"/>
    </row>
    <row r="70" spans="8:8" ht="30" customHeight="1" x14ac:dyDescent="0.3">
      <c r="H70" s="115"/>
    </row>
    <row r="71" spans="8:8" ht="30" customHeight="1" x14ac:dyDescent="0.3"/>
    <row r="72" spans="8:8" ht="30" customHeight="1" x14ac:dyDescent="0.3"/>
    <row r="73" spans="8:8" ht="30" customHeight="1" x14ac:dyDescent="0.3"/>
    <row r="74" spans="8:8" ht="30" customHeight="1" x14ac:dyDescent="0.3"/>
    <row r="77" spans="8:8" ht="30" customHeight="1" x14ac:dyDescent="0.3"/>
    <row r="78" spans="8:8" ht="30" customHeight="1" x14ac:dyDescent="0.3"/>
    <row r="79" spans="8:8" ht="30" customHeight="1" x14ac:dyDescent="0.3"/>
    <row r="80" spans="8:8" ht="30" customHeight="1" x14ac:dyDescent="0.3"/>
    <row r="81" spans="4:4" ht="30" customHeight="1" x14ac:dyDescent="0.3"/>
    <row r="82" spans="4:4" ht="30" customHeight="1" x14ac:dyDescent="0.3"/>
    <row r="83" spans="4:4" ht="30" customHeight="1" x14ac:dyDescent="0.3"/>
    <row r="84" spans="4:4" ht="30" customHeight="1" x14ac:dyDescent="0.3"/>
    <row r="85" spans="4:4" ht="30" customHeight="1" x14ac:dyDescent="0.3"/>
    <row r="86" spans="4:4" ht="30" customHeight="1" x14ac:dyDescent="0.3"/>
    <row r="87" spans="4:4" ht="30" customHeight="1" x14ac:dyDescent="0.3"/>
    <row r="88" spans="4:4" ht="30" customHeight="1" x14ac:dyDescent="0.3"/>
    <row r="89" spans="4:4" ht="30" customHeight="1" x14ac:dyDescent="0.3"/>
    <row r="90" spans="4:4" ht="30" customHeight="1" x14ac:dyDescent="0.3"/>
    <row r="91" spans="4:4" ht="30" customHeight="1" x14ac:dyDescent="0.3"/>
    <row r="92" spans="4:4" ht="30" customHeight="1" x14ac:dyDescent="0.3"/>
    <row r="93" spans="4:4" x14ac:dyDescent="0.3">
      <c r="D93" s="262"/>
    </row>
    <row r="94" spans="4:4" ht="30" customHeight="1" x14ac:dyDescent="0.3">
      <c r="D94" s="262"/>
    </row>
    <row r="95" spans="4:4" ht="30" customHeight="1" x14ac:dyDescent="0.3">
      <c r="D95" s="262"/>
    </row>
    <row r="96" spans="4:4" ht="30" customHeight="1" x14ac:dyDescent="0.3"/>
    <row r="97" spans="4:4" ht="30" customHeight="1" x14ac:dyDescent="0.3">
      <c r="D97" s="355"/>
    </row>
    <row r="98" spans="4:4" ht="30" customHeight="1" x14ac:dyDescent="0.3">
      <c r="D98" s="355"/>
    </row>
    <row r="99" spans="4:4" ht="30" customHeight="1" x14ac:dyDescent="0.3">
      <c r="D99" s="355"/>
    </row>
    <row r="100" spans="4:4" ht="30" customHeight="1" x14ac:dyDescent="0.3">
      <c r="D100" s="355"/>
    </row>
    <row r="101" spans="4:4" ht="30" customHeight="1" x14ac:dyDescent="0.3">
      <c r="D101" s="355"/>
    </row>
    <row r="102" spans="4:4" ht="30" customHeight="1" x14ac:dyDescent="0.3">
      <c r="D102" s="355"/>
    </row>
    <row r="103" spans="4:4" ht="30" customHeight="1" x14ac:dyDescent="0.3">
      <c r="D103" s="355"/>
    </row>
    <row r="104" spans="4:4" ht="30" customHeight="1" x14ac:dyDescent="0.3">
      <c r="D104" s="355"/>
    </row>
    <row r="105" spans="4:4" ht="30" customHeight="1" x14ac:dyDescent="0.3">
      <c r="D105" s="262"/>
    </row>
    <row r="106" spans="4:4" ht="30" customHeight="1" x14ac:dyDescent="0.3">
      <c r="D106" s="262"/>
    </row>
    <row r="107" spans="4:4" ht="30" customHeight="1" x14ac:dyDescent="0.3">
      <c r="D107" s="262"/>
    </row>
    <row r="108" spans="4:4" ht="30" customHeight="1" x14ac:dyDescent="0.3">
      <c r="D108" s="262"/>
    </row>
    <row r="109" spans="4:4" ht="30" customHeight="1" x14ac:dyDescent="0.3">
      <c r="D109" s="355"/>
    </row>
    <row r="110" spans="4:4" ht="30" customHeight="1" x14ac:dyDescent="0.3">
      <c r="D110" s="355"/>
    </row>
    <row r="111" spans="4:4" ht="30" customHeight="1" x14ac:dyDescent="0.3">
      <c r="D111" s="355"/>
    </row>
    <row r="112" spans="4:4" ht="30" customHeight="1" x14ac:dyDescent="0.3">
      <c r="D112" s="355"/>
    </row>
    <row r="113" spans="4:4" ht="30" customHeight="1" x14ac:dyDescent="0.3">
      <c r="D113" s="355"/>
    </row>
    <row r="114" spans="4:4" ht="30" customHeight="1" x14ac:dyDescent="0.3">
      <c r="D114" s="355"/>
    </row>
    <row r="115" spans="4:4" ht="30" customHeight="1" x14ac:dyDescent="0.3">
      <c r="D115" s="355"/>
    </row>
    <row r="116" spans="4:4" ht="30" customHeight="1" x14ac:dyDescent="0.3">
      <c r="D116" s="355"/>
    </row>
    <row r="117" spans="4:4" ht="30" customHeight="1" x14ac:dyDescent="0.3"/>
    <row r="118" spans="4:4" ht="30" customHeight="1" x14ac:dyDescent="0.3"/>
    <row r="119" spans="4:4" ht="30" customHeight="1" x14ac:dyDescent="0.3"/>
    <row r="120" spans="4:4" ht="30" customHeight="1" x14ac:dyDescent="0.3"/>
    <row r="121" spans="4:4" ht="30" customHeight="1" x14ac:dyDescent="0.3"/>
    <row r="122" spans="4:4" ht="30" customHeight="1" x14ac:dyDescent="0.3"/>
    <row r="123" spans="4:4" ht="30" customHeight="1" x14ac:dyDescent="0.3"/>
    <row r="124" spans="4:4" ht="30" customHeight="1" x14ac:dyDescent="0.3"/>
    <row r="125" spans="4:4" ht="30" customHeight="1" x14ac:dyDescent="0.3"/>
    <row r="126" spans="4:4" ht="30" customHeight="1" x14ac:dyDescent="0.3"/>
    <row r="127" spans="4:4" ht="30" customHeight="1" x14ac:dyDescent="0.3"/>
    <row r="128" spans="4:4"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45" customHeight="1" x14ac:dyDescent="0.3"/>
    <row r="170" ht="30" customHeight="1" x14ac:dyDescent="0.3"/>
    <row r="171" ht="30" customHeight="1" x14ac:dyDescent="0.3"/>
    <row r="172" ht="30" customHeight="1" x14ac:dyDescent="0.3"/>
    <row r="173" ht="30"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59.25" customHeight="1" x14ac:dyDescent="0.3"/>
  </sheetData>
  <sheetProtection algorithmName="SHA-512" hashValue="GPux6B55yT/xqtTQ+dk0JGWhb6n6ONmwqd9d+pSeXStvrppNwFKoSJCcaUYKEmru+fbA9lEoK5H9qXSVkflnxg==" saltValue="Z0bW47A0xXOpnqZ8UMw3ng==" spinCount="100000" sheet="1" objects="1" scenarios="1"/>
  <mergeCells count="1">
    <mergeCell ref="O3:Q5"/>
  </mergeCells>
  <conditionalFormatting sqref="B1:B1048576">
    <cfRule type="cellIs" dxfId="193" priority="2" operator="equal">
      <formula>"Informational"</formula>
    </cfRule>
    <cfRule type="cellIs" dxfId="192" priority="3" operator="equal">
      <formula>"Not Needed"</formula>
    </cfRule>
    <cfRule type="cellIs" dxfId="191" priority="4" operator="equal">
      <formula>"Extremely Advantageous"</formula>
    </cfRule>
    <cfRule type="cellIs" dxfId="190" priority="5" operator="equal">
      <formula>"Critical"</formula>
    </cfRule>
  </conditionalFormatting>
  <conditionalFormatting sqref="G1:G1048576">
    <cfRule type="cellIs" dxfId="189" priority="6" operator="equal">
      <formula>"Exception"</formula>
    </cfRule>
  </conditionalFormatting>
  <conditionalFormatting sqref="G3:G53">
    <cfRule type="cellIs" dxfId="188"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47" xr:uid="{00000000-0002-0000-1B00-000000000000}">
      <formula1>SpecType</formula1>
      <formula2>0</formula2>
    </dataValidation>
    <dataValidation type="list" allowBlank="1" showInputMessage="1" showErrorMessage="1" sqref="G3:G28 G30:G32 G34:G40 G42:G44 G46:G49 G51:G53" xr:uid="{00000000-0002-0000-1B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D8E5B1"/>
    <pageSetUpPr fitToPage="1"/>
  </sheetPr>
  <dimension ref="A1:P200"/>
  <sheetViews>
    <sheetView topLeftCell="B1" zoomScaleNormal="100" zoomScalePageLayoutView="90" workbookViewId="0">
      <selection activeCell="G1" sqref="G1"/>
    </sheetView>
  </sheetViews>
  <sheetFormatPr defaultColWidth="9" defaultRowHeight="15.6" x14ac:dyDescent="0.3"/>
  <cols>
    <col min="1" max="1" width="12.59765625" style="113" customWidth="1"/>
    <col min="2" max="2" width="14.59765625" style="113" customWidth="1"/>
    <col min="3" max="3" width="65.59765625" style="233" customWidth="1"/>
    <col min="4" max="4" width="65.59765625" style="115" customWidth="1"/>
    <col min="5" max="5" width="10.59765625" style="115" hidden="1" customWidth="1"/>
    <col min="6" max="6" width="6.59765625" style="115" hidden="1" customWidth="1"/>
    <col min="7" max="7" width="30.59765625" style="115" customWidth="1"/>
    <col min="8" max="11" width="8.59765625" style="131" customWidth="1"/>
    <col min="12" max="16384" width="9" style="115"/>
  </cols>
  <sheetData>
    <row r="1" spans="1:16" s="124" customFormat="1" ht="105" customHeight="1" x14ac:dyDescent="0.25">
      <c r="A1" s="158" t="s">
        <v>102</v>
      </c>
      <c r="B1" s="158" t="s">
        <v>103</v>
      </c>
      <c r="C1" s="158" t="str">
        <f>'Support Data'!A18</f>
        <v>Specifications</v>
      </c>
      <c r="D1" s="159" t="str">
        <f>'Support Data'!$A$19</f>
        <v>Contractor Work Area</v>
      </c>
      <c r="E1" s="159" t="str">
        <f>'Support Data'!A20</f>
        <v>Def ID</v>
      </c>
      <c r="F1" s="160" t="s">
        <v>78</v>
      </c>
      <c r="G1" s="159" t="str">
        <f>'Support Data'!A22</f>
        <v>Availability</v>
      </c>
      <c r="H1" s="123" t="str">
        <f>'Support Data'!A24</f>
        <v>Summary</v>
      </c>
      <c r="I1" s="123" t="str">
        <f>'Support Data'!A25</f>
        <v>Spec Weight</v>
      </c>
      <c r="J1" s="123" t="str">
        <f>'Support Data'!A26</f>
        <v>Avail Weight</v>
      </c>
      <c r="K1" s="123" t="str">
        <f>'Support Data'!A27</f>
        <v>Score</v>
      </c>
      <c r="L1" s="123" t="s">
        <v>104</v>
      </c>
    </row>
    <row r="2" spans="1:16" x14ac:dyDescent="0.3">
      <c r="A2" s="449" t="s">
        <v>697</v>
      </c>
      <c r="B2" s="161"/>
      <c r="C2" s="234"/>
      <c r="D2" s="128"/>
      <c r="E2" s="130"/>
      <c r="F2" s="130"/>
      <c r="G2" s="268"/>
      <c r="H2" s="131">
        <f>COUNTA(B3:B132)</f>
        <v>118</v>
      </c>
      <c r="K2" s="131">
        <f>SUM(K3:K132)</f>
        <v>0</v>
      </c>
    </row>
    <row r="3" spans="1:16" ht="43.35" customHeight="1" x14ac:dyDescent="0.3">
      <c r="A3" s="259" t="str">
        <f>IF(L3=1,"FRMS-IN-"&amp;TEXT(COUNTIF($L$3:L3, "1"), "0"), "")</f>
        <v>FRMS-IN-1</v>
      </c>
      <c r="B3" s="450" t="s">
        <v>43</v>
      </c>
      <c r="C3" s="269" t="s">
        <v>698</v>
      </c>
      <c r="D3" s="270"/>
      <c r="E3" s="186"/>
      <c r="F3" s="187"/>
      <c r="G3" s="187" t="s">
        <v>101</v>
      </c>
      <c r="H3" s="131">
        <f>COUNTIF(G:G,"=Select from Drop Down List")</f>
        <v>118</v>
      </c>
      <c r="I3" s="131">
        <f t="shared" ref="I3:I13" si="0">IF(NOT(ISBLANK($B3)),VLOOKUP($B3,specdata,2,FALSE()),"")</f>
        <v>1</v>
      </c>
      <c r="J3" s="131">
        <f t="shared" ref="J3:J13" si="1">VLOOKUP(G3,AvailabilityData,2,FALSE())</f>
        <v>0</v>
      </c>
      <c r="K3" s="131">
        <f t="shared" ref="K3:K13" si="2">I3*J3</f>
        <v>0</v>
      </c>
      <c r="L3" s="115">
        <v>1</v>
      </c>
      <c r="N3" s="858" t="s">
        <v>107</v>
      </c>
      <c r="O3" s="858"/>
      <c r="P3" s="858"/>
    </row>
    <row r="4" spans="1:16" ht="30" customHeight="1" x14ac:dyDescent="0.3">
      <c r="A4" s="259" t="str">
        <f>IF(L4=1,"FRMS-IN-"&amp;TEXT(COUNTIF($L$3:L4, "1"), "0"), "")</f>
        <v>FRMS-IN-2</v>
      </c>
      <c r="B4" s="133" t="s">
        <v>43</v>
      </c>
      <c r="C4" s="134" t="s">
        <v>680</v>
      </c>
      <c r="D4" s="153"/>
      <c r="E4" s="168"/>
      <c r="F4" s="137"/>
      <c r="G4" s="137" t="s">
        <v>101</v>
      </c>
      <c r="H4" s="131">
        <f>COUNTIF(G:G,"=Function Available")</f>
        <v>0</v>
      </c>
      <c r="I4" s="131">
        <f t="shared" si="0"/>
        <v>1</v>
      </c>
      <c r="J4" s="131">
        <f t="shared" si="1"/>
        <v>0</v>
      </c>
      <c r="K4" s="131">
        <f t="shared" si="2"/>
        <v>0</v>
      </c>
      <c r="L4" s="115">
        <v>1</v>
      </c>
      <c r="N4" s="858"/>
      <c r="O4" s="858"/>
      <c r="P4" s="858"/>
    </row>
    <row r="5" spans="1:16" ht="30" customHeight="1" x14ac:dyDescent="0.3">
      <c r="A5" s="259" t="str">
        <f>IF(L5=1,"FRMS-IN-"&amp;TEXT(COUNTIF($L$3:L5, "1"), "0"), "")</f>
        <v>FRMS-IN-3</v>
      </c>
      <c r="B5" s="133" t="s">
        <v>43</v>
      </c>
      <c r="C5" s="134" t="s">
        <v>699</v>
      </c>
      <c r="D5" s="153"/>
      <c r="E5" s="168"/>
      <c r="F5" s="137"/>
      <c r="G5" s="137" t="s">
        <v>101</v>
      </c>
      <c r="H5" s="131">
        <f>COUNTIF(F:G,"=Function Not Available")</f>
        <v>0</v>
      </c>
      <c r="I5" s="131">
        <f t="shared" si="0"/>
        <v>1</v>
      </c>
      <c r="J5" s="131">
        <f t="shared" si="1"/>
        <v>0</v>
      </c>
      <c r="K5" s="131">
        <f t="shared" si="2"/>
        <v>0</v>
      </c>
      <c r="L5" s="115">
        <v>1</v>
      </c>
      <c r="N5" s="858"/>
      <c r="O5" s="858"/>
      <c r="P5" s="858"/>
    </row>
    <row r="6" spans="1:16" ht="46.8" x14ac:dyDescent="0.3">
      <c r="A6" s="259" t="str">
        <f>IF(L6=1,"FRMS-IN-"&amp;TEXT(COUNTIF($L$3:L6, "1"), "0"), "")</f>
        <v>FRMS-IN-4</v>
      </c>
      <c r="B6" s="133" t="s">
        <v>43</v>
      </c>
      <c r="C6" s="134" t="s">
        <v>700</v>
      </c>
      <c r="D6" s="153"/>
      <c r="E6" s="168"/>
      <c r="F6" s="137"/>
      <c r="G6" s="137" t="s">
        <v>101</v>
      </c>
      <c r="H6" s="131">
        <f>COUNTIF(G:G,"=Exception")</f>
        <v>0</v>
      </c>
      <c r="I6" s="131">
        <f t="shared" si="0"/>
        <v>1</v>
      </c>
      <c r="J6" s="131">
        <f t="shared" si="1"/>
        <v>0</v>
      </c>
      <c r="K6" s="131">
        <f t="shared" si="2"/>
        <v>0</v>
      </c>
      <c r="L6" s="115">
        <v>1</v>
      </c>
      <c r="N6" s="858"/>
      <c r="O6" s="858"/>
      <c r="P6" s="858"/>
    </row>
    <row r="7" spans="1:16" ht="46.8" x14ac:dyDescent="0.3">
      <c r="A7" s="259" t="str">
        <f>IF(L7=1,"FRMS-IN-"&amp;TEXT(COUNTIF($L$3:L7, "1"), "0"), "")</f>
        <v>FRMS-IN-5</v>
      </c>
      <c r="B7" s="133" t="s">
        <v>43</v>
      </c>
      <c r="C7" s="134" t="s">
        <v>701</v>
      </c>
      <c r="D7" s="153"/>
      <c r="E7" s="168"/>
      <c r="F7" s="137"/>
      <c r="G7" s="137" t="s">
        <v>101</v>
      </c>
      <c r="H7" s="140">
        <f>COUNTIFS(B:B,"=Critical",G:G,"=Select from Drop Down List")</f>
        <v>0</v>
      </c>
      <c r="I7" s="131">
        <f t="shared" si="0"/>
        <v>1</v>
      </c>
      <c r="J7" s="131">
        <f t="shared" si="1"/>
        <v>0</v>
      </c>
      <c r="K7" s="131">
        <f t="shared" si="2"/>
        <v>0</v>
      </c>
      <c r="L7" s="115">
        <v>1</v>
      </c>
    </row>
    <row r="8" spans="1:16" ht="30" customHeight="1" x14ac:dyDescent="0.3">
      <c r="A8" s="259" t="str">
        <f>IF(L8=1,"FRMS-IN-"&amp;TEXT(COUNTIF($L$3:L8, "1"), "0"), "")</f>
        <v>FRMS-IN-6</v>
      </c>
      <c r="B8" s="133" t="s">
        <v>43</v>
      </c>
      <c r="C8" s="134" t="s">
        <v>702</v>
      </c>
      <c r="D8" s="153"/>
      <c r="E8" s="168"/>
      <c r="F8" s="137"/>
      <c r="G8" s="240" t="s">
        <v>101</v>
      </c>
      <c r="H8" s="140">
        <f>COUNTIFS(B:B,"=Critical",G:G,"=Function Available")</f>
        <v>0</v>
      </c>
      <c r="I8" s="131">
        <f t="shared" si="0"/>
        <v>1</v>
      </c>
      <c r="J8" s="131">
        <f t="shared" si="1"/>
        <v>0</v>
      </c>
      <c r="K8" s="131">
        <f t="shared" si="2"/>
        <v>0</v>
      </c>
      <c r="L8" s="115">
        <v>1</v>
      </c>
    </row>
    <row r="9" spans="1:16" ht="46.8" x14ac:dyDescent="0.3">
      <c r="A9" s="259" t="str">
        <f>IF(L9=1,"FRMS-IN-"&amp;TEXT(COUNTIF($L$3:L9, "1"), "0"), "")</f>
        <v>FRMS-IN-7</v>
      </c>
      <c r="B9" s="133" t="s">
        <v>43</v>
      </c>
      <c r="C9" s="134" t="s">
        <v>703</v>
      </c>
      <c r="D9" s="153"/>
      <c r="E9" s="168"/>
      <c r="F9" s="137"/>
      <c r="G9" s="240" t="s">
        <v>101</v>
      </c>
      <c r="H9" s="140">
        <f>COUNTIFS(B:B,"=Critical",G:G,"=Function Not Available")</f>
        <v>0</v>
      </c>
      <c r="I9" s="131">
        <f t="shared" si="0"/>
        <v>1</v>
      </c>
      <c r="J9" s="131">
        <f t="shared" si="1"/>
        <v>0</v>
      </c>
      <c r="K9" s="131">
        <f t="shared" si="2"/>
        <v>0</v>
      </c>
      <c r="L9" s="115">
        <v>1</v>
      </c>
    </row>
    <row r="10" spans="1:16" ht="30" customHeight="1" x14ac:dyDescent="0.3">
      <c r="A10" s="259" t="str">
        <f>IF(L10=1,"FRMS-IN-"&amp;TEXT(COUNTIF($L$3:L10, "1"), "0"), "")</f>
        <v>FRMS-IN-8</v>
      </c>
      <c r="B10" s="133" t="s">
        <v>43</v>
      </c>
      <c r="C10" s="134" t="s">
        <v>704</v>
      </c>
      <c r="D10" s="153"/>
      <c r="E10" s="168"/>
      <c r="F10" s="137"/>
      <c r="G10" s="240" t="s">
        <v>101</v>
      </c>
      <c r="H10" s="140">
        <f>COUNTIFS(B:B,"=Critical",G:G,"=Exception")</f>
        <v>0</v>
      </c>
      <c r="I10" s="131">
        <f t="shared" si="0"/>
        <v>1</v>
      </c>
      <c r="J10" s="131">
        <f t="shared" si="1"/>
        <v>0</v>
      </c>
      <c r="K10" s="131">
        <f t="shared" si="2"/>
        <v>0</v>
      </c>
      <c r="L10" s="115">
        <v>1</v>
      </c>
    </row>
    <row r="11" spans="1:16" ht="30" customHeight="1" x14ac:dyDescent="0.3">
      <c r="A11" s="259" t="str">
        <f>IF(L11=1,"FRMS-IN-"&amp;TEXT(COUNTIF($L$3:L11, "1"), "0"), "")</f>
        <v>FRMS-IN-9</v>
      </c>
      <c r="B11" s="133" t="s">
        <v>43</v>
      </c>
      <c r="C11" s="134" t="s">
        <v>705</v>
      </c>
      <c r="D11" s="153"/>
      <c r="E11" s="168"/>
      <c r="F11" s="137"/>
      <c r="G11" s="240" t="s">
        <v>101</v>
      </c>
      <c r="H11" s="146">
        <f>COUNTIFS(B:B,"=Important",G:G,"=Select from Drop Down List")</f>
        <v>118</v>
      </c>
      <c r="I11" s="131">
        <f t="shared" si="0"/>
        <v>1</v>
      </c>
      <c r="J11" s="131">
        <f t="shared" si="1"/>
        <v>0</v>
      </c>
      <c r="K11" s="131">
        <f t="shared" si="2"/>
        <v>0</v>
      </c>
      <c r="L11" s="115">
        <v>1</v>
      </c>
    </row>
    <row r="12" spans="1:16" ht="30" customHeight="1" x14ac:dyDescent="0.3">
      <c r="A12" s="259" t="str">
        <f>IF(L12=1,"FRMS-IN-"&amp;TEXT(COUNTIF($L$3:L12, "1"), "0"), "")</f>
        <v>FRMS-IN-10</v>
      </c>
      <c r="B12" s="133" t="s">
        <v>43</v>
      </c>
      <c r="C12" s="134" t="s">
        <v>706</v>
      </c>
      <c r="D12" s="153"/>
      <c r="E12" s="168"/>
      <c r="F12" s="137"/>
      <c r="G12" s="240" t="s">
        <v>101</v>
      </c>
      <c r="H12" s="146">
        <f>COUNTIFS(B:B,"=Important",G:G,"=Function Available")</f>
        <v>0</v>
      </c>
      <c r="I12" s="131">
        <f t="shared" si="0"/>
        <v>1</v>
      </c>
      <c r="J12" s="131">
        <f t="shared" si="1"/>
        <v>0</v>
      </c>
      <c r="K12" s="131">
        <f t="shared" si="2"/>
        <v>0</v>
      </c>
      <c r="L12" s="115">
        <v>1</v>
      </c>
    </row>
    <row r="13" spans="1:16" ht="62.4" x14ac:dyDescent="0.3">
      <c r="A13" s="259" t="str">
        <f>IF(L13=1,"FRMS-IN-"&amp;TEXT(COUNTIF($L$3:L13, "1"), "0"), "")</f>
        <v>FRMS-IN-11</v>
      </c>
      <c r="B13" s="169" t="s">
        <v>43</v>
      </c>
      <c r="C13" s="271" t="s">
        <v>707</v>
      </c>
      <c r="D13" s="174"/>
      <c r="E13" s="175"/>
      <c r="F13" s="176"/>
      <c r="G13" s="242" t="s">
        <v>101</v>
      </c>
      <c r="H13" s="146">
        <f>COUNTIFS(B:B,"=Important",G:G,"=Function Not Available")</f>
        <v>0</v>
      </c>
      <c r="I13" s="131">
        <f t="shared" si="0"/>
        <v>1</v>
      </c>
      <c r="J13" s="131">
        <f t="shared" si="1"/>
        <v>0</v>
      </c>
      <c r="K13" s="131">
        <f t="shared" si="2"/>
        <v>0</v>
      </c>
      <c r="L13" s="115">
        <v>1</v>
      </c>
    </row>
    <row r="14" spans="1:16" x14ac:dyDescent="0.3">
      <c r="A14" s="316"/>
      <c r="B14" s="126"/>
      <c r="C14" s="243" t="s">
        <v>708</v>
      </c>
      <c r="D14" s="179"/>
      <c r="E14" s="180"/>
      <c r="F14" s="181"/>
      <c r="G14" s="182"/>
      <c r="H14" s="146">
        <f>COUNTIFS(B:B,"=Important",G:G,"=Exception")</f>
        <v>0</v>
      </c>
    </row>
    <row r="15" spans="1:16" ht="62.4" x14ac:dyDescent="0.3">
      <c r="A15" s="259" t="str">
        <f>IF(L15=1,"FRMS-IN-"&amp;TEXT(COUNTIF($L$3:L15, "1"), "0"), "")</f>
        <v>FRMS-IN-12</v>
      </c>
      <c r="B15" s="183" t="s">
        <v>43</v>
      </c>
      <c r="C15" s="269" t="s">
        <v>709</v>
      </c>
      <c r="D15" s="185"/>
      <c r="E15" s="186"/>
      <c r="F15" s="187"/>
      <c r="G15" s="187" t="s">
        <v>101</v>
      </c>
      <c r="H15" s="147">
        <f>COUNTIFS(B:B,"=Informational",G:G,"=Select from Drop Down List")</f>
        <v>0</v>
      </c>
      <c r="I15" s="131">
        <f>IF(NOT(ISBLANK($B15)),VLOOKUP($B15,specdata,2,FALSE()),"")</f>
        <v>1</v>
      </c>
      <c r="J15" s="131">
        <f>VLOOKUP(G15,AvailabilityData,2,FALSE())</f>
        <v>0</v>
      </c>
      <c r="K15" s="131">
        <f>I15*J15</f>
        <v>0</v>
      </c>
      <c r="L15" s="115">
        <v>1</v>
      </c>
    </row>
    <row r="16" spans="1:16" ht="30" customHeight="1" x14ac:dyDescent="0.3">
      <c r="A16" s="259" t="str">
        <f>IF(L16=1,"FRMS-IN-"&amp;TEXT(COUNTIF($L$3:L16, "1"), "0"), "")</f>
        <v>FRMS-IN-13</v>
      </c>
      <c r="B16" s="133" t="s">
        <v>43</v>
      </c>
      <c r="C16" s="134" t="s">
        <v>710</v>
      </c>
      <c r="D16" s="138"/>
      <c r="E16" s="168"/>
      <c r="F16" s="137"/>
      <c r="G16" s="137" t="s">
        <v>101</v>
      </c>
      <c r="H16" s="147">
        <f>COUNTIFS(B:B,"=Informational",G:G,"=Function Available")</f>
        <v>0</v>
      </c>
      <c r="I16" s="131">
        <f>IF(NOT(ISBLANK($B16)),VLOOKUP($B16,specdata,2,FALSE()),"")</f>
        <v>1</v>
      </c>
      <c r="J16" s="131">
        <f>VLOOKUP(G16,AvailabilityData,2,FALSE())</f>
        <v>0</v>
      </c>
      <c r="K16" s="131">
        <f>I16*J16</f>
        <v>0</v>
      </c>
      <c r="L16" s="115">
        <v>1</v>
      </c>
    </row>
    <row r="17" spans="1:12" ht="46.8" x14ac:dyDescent="0.3">
      <c r="A17" s="259" t="str">
        <f>IF(L17=1,"FRMS-IN-"&amp;TEXT(COUNTIF($L$3:L17, "1"), "0"), "")</f>
        <v>FRMS-IN-14</v>
      </c>
      <c r="B17" s="169" t="s">
        <v>43</v>
      </c>
      <c r="C17" s="271" t="s">
        <v>711</v>
      </c>
      <c r="D17" s="323"/>
      <c r="E17" s="175"/>
      <c r="F17" s="176"/>
      <c r="G17" s="176" t="s">
        <v>101</v>
      </c>
      <c r="H17" s="147">
        <f>COUNTIFS(B:B,"=Informational",G:G,"=Function Not Available")</f>
        <v>0</v>
      </c>
      <c r="I17" s="131">
        <f>IF(NOT(ISBLANK($B17)),VLOOKUP($B17,specdata,2,FALSE()),"")</f>
        <v>1</v>
      </c>
      <c r="J17" s="131">
        <f>VLOOKUP(G17,AvailabilityData,2,FALSE())</f>
        <v>0</v>
      </c>
      <c r="K17" s="131">
        <f>I17*J17</f>
        <v>0</v>
      </c>
      <c r="L17" s="115">
        <v>1</v>
      </c>
    </row>
    <row r="18" spans="1:12" ht="22.5" customHeight="1" x14ac:dyDescent="0.3">
      <c r="A18" s="316"/>
      <c r="B18" s="126"/>
      <c r="C18" s="243" t="s">
        <v>712</v>
      </c>
      <c r="D18" s="194"/>
      <c r="E18" s="180"/>
      <c r="F18" s="181"/>
      <c r="G18" s="182"/>
      <c r="H18" s="147">
        <f>COUNTIFS(B:B,"=Informational",G:G,"=Exception")</f>
        <v>0</v>
      </c>
    </row>
    <row r="19" spans="1:12" ht="30" customHeight="1" x14ac:dyDescent="0.3">
      <c r="A19" s="259" t="str">
        <f>IF(L19=1,"FRMS-IN-"&amp;TEXT(COUNTIF($L$3:L19, "1"), "0"), "")</f>
        <v>FRMS-IN-15</v>
      </c>
      <c r="B19" s="183" t="s">
        <v>43</v>
      </c>
      <c r="C19" s="278" t="s">
        <v>713</v>
      </c>
      <c r="D19" s="451"/>
      <c r="E19" s="186"/>
      <c r="F19" s="187"/>
      <c r="G19" s="187" t="s">
        <v>101</v>
      </c>
      <c r="H19" s="147"/>
      <c r="I19" s="131">
        <f t="shared" ref="I19:I50" si="3">IF(NOT(ISBLANK($B19)),VLOOKUP($B19,specdata,2,FALSE()),"")</f>
        <v>1</v>
      </c>
      <c r="J19" s="131">
        <f t="shared" ref="J19:J50" si="4">VLOOKUP(G19,AvailabilityData,2,FALSE())</f>
        <v>0</v>
      </c>
      <c r="K19" s="131">
        <f t="shared" ref="K19:K50" si="5">I19*J19</f>
        <v>0</v>
      </c>
      <c r="L19" s="115">
        <v>1</v>
      </c>
    </row>
    <row r="20" spans="1:12" ht="30" customHeight="1" x14ac:dyDescent="0.3">
      <c r="A20" s="259" t="str">
        <f>IF(L20=1,"FRMS-IN-"&amp;TEXT(COUNTIF($L$3:L20, "1"), "0"), "")</f>
        <v>FRMS-IN-16</v>
      </c>
      <c r="B20" s="133" t="s">
        <v>43</v>
      </c>
      <c r="C20" s="154" t="s">
        <v>714</v>
      </c>
      <c r="D20" s="138"/>
      <c r="E20" s="168"/>
      <c r="F20" s="137"/>
      <c r="G20" s="137" t="s">
        <v>101</v>
      </c>
      <c r="I20" s="131">
        <f t="shared" si="3"/>
        <v>1</v>
      </c>
      <c r="J20" s="131">
        <f t="shared" si="4"/>
        <v>0</v>
      </c>
      <c r="K20" s="131">
        <f t="shared" si="5"/>
        <v>0</v>
      </c>
      <c r="L20" s="115">
        <v>1</v>
      </c>
    </row>
    <row r="21" spans="1:12" ht="30" customHeight="1" x14ac:dyDescent="0.3">
      <c r="A21" s="259" t="str">
        <f>IF(L21=1,"FRMS-IN-"&amp;TEXT(COUNTIF($L$3:L21, "1"), "0"), "")</f>
        <v>FRMS-IN-17</v>
      </c>
      <c r="B21" s="133" t="s">
        <v>43</v>
      </c>
      <c r="C21" s="154" t="s">
        <v>715</v>
      </c>
      <c r="D21" s="138"/>
      <c r="E21" s="168"/>
      <c r="F21" s="137"/>
      <c r="G21" s="137" t="s">
        <v>101</v>
      </c>
      <c r="I21" s="131">
        <f t="shared" si="3"/>
        <v>1</v>
      </c>
      <c r="J21" s="131">
        <f t="shared" si="4"/>
        <v>0</v>
      </c>
      <c r="K21" s="131">
        <f t="shared" si="5"/>
        <v>0</v>
      </c>
      <c r="L21" s="115">
        <v>1</v>
      </c>
    </row>
    <row r="22" spans="1:12" ht="30" customHeight="1" x14ac:dyDescent="0.3">
      <c r="A22" s="259" t="str">
        <f>IF(L22=1,"FRMS-IN-"&amp;TEXT(COUNTIF($L$3:L22, "1"), "0"), "")</f>
        <v>FRMS-IN-18</v>
      </c>
      <c r="B22" s="133" t="s">
        <v>43</v>
      </c>
      <c r="C22" s="154" t="s">
        <v>716</v>
      </c>
      <c r="D22" s="138"/>
      <c r="E22" s="168"/>
      <c r="F22" s="137"/>
      <c r="G22" s="137" t="s">
        <v>101</v>
      </c>
      <c r="I22" s="131">
        <f t="shared" si="3"/>
        <v>1</v>
      </c>
      <c r="J22" s="131">
        <f t="shared" si="4"/>
        <v>0</v>
      </c>
      <c r="K22" s="131">
        <f t="shared" si="5"/>
        <v>0</v>
      </c>
      <c r="L22" s="115">
        <v>1</v>
      </c>
    </row>
    <row r="23" spans="1:12" ht="30" customHeight="1" x14ac:dyDescent="0.3">
      <c r="A23" s="259" t="str">
        <f>IF(L23=1,"FRMS-IN-"&amp;TEXT(COUNTIF($L$3:L23, "1"), "0"), "")</f>
        <v>FRMS-IN-19</v>
      </c>
      <c r="B23" s="133" t="s">
        <v>43</v>
      </c>
      <c r="C23" s="154" t="s">
        <v>717</v>
      </c>
      <c r="D23" s="138"/>
      <c r="E23" s="168"/>
      <c r="F23" s="137"/>
      <c r="G23" s="137" t="s">
        <v>101</v>
      </c>
      <c r="I23" s="131">
        <f t="shared" si="3"/>
        <v>1</v>
      </c>
      <c r="J23" s="131">
        <f t="shared" si="4"/>
        <v>0</v>
      </c>
      <c r="K23" s="131">
        <f t="shared" si="5"/>
        <v>0</v>
      </c>
      <c r="L23" s="115">
        <v>1</v>
      </c>
    </row>
    <row r="24" spans="1:12" ht="30" customHeight="1" x14ac:dyDescent="0.3">
      <c r="A24" s="259" t="str">
        <f>IF(L24=1,"FRMS-IN-"&amp;TEXT(COUNTIF($L$3:L24, "1"), "0"), "")</f>
        <v>FRMS-IN-20</v>
      </c>
      <c r="B24" s="133" t="s">
        <v>43</v>
      </c>
      <c r="C24" s="154" t="s">
        <v>718</v>
      </c>
      <c r="D24" s="138"/>
      <c r="E24" s="168"/>
      <c r="F24" s="137"/>
      <c r="G24" s="137" t="s">
        <v>101</v>
      </c>
      <c r="I24" s="131">
        <f t="shared" si="3"/>
        <v>1</v>
      </c>
      <c r="J24" s="131">
        <f t="shared" si="4"/>
        <v>0</v>
      </c>
      <c r="K24" s="131">
        <f t="shared" si="5"/>
        <v>0</v>
      </c>
      <c r="L24" s="115">
        <v>1</v>
      </c>
    </row>
    <row r="25" spans="1:12" ht="30" customHeight="1" x14ac:dyDescent="0.3">
      <c r="A25" s="259" t="str">
        <f>IF(L25=1,"FRMS-IN-"&amp;TEXT(COUNTIF($L$3:L25, "1"), "0"), "")</f>
        <v>FRMS-IN-21</v>
      </c>
      <c r="B25" s="133" t="s">
        <v>43</v>
      </c>
      <c r="C25" s="154" t="s">
        <v>719</v>
      </c>
      <c r="D25" s="138"/>
      <c r="E25" s="168"/>
      <c r="F25" s="137"/>
      <c r="G25" s="137" t="s">
        <v>101</v>
      </c>
      <c r="I25" s="131">
        <f t="shared" si="3"/>
        <v>1</v>
      </c>
      <c r="J25" s="131">
        <f t="shared" si="4"/>
        <v>0</v>
      </c>
      <c r="K25" s="131">
        <f t="shared" si="5"/>
        <v>0</v>
      </c>
      <c r="L25" s="115">
        <v>1</v>
      </c>
    </row>
    <row r="26" spans="1:12" ht="30" customHeight="1" x14ac:dyDescent="0.3">
      <c r="A26" s="259" t="str">
        <f>IF(L26=1,"FRMS-IN-"&amp;TEXT(COUNTIF($L$3:L26, "1"), "0"), "")</f>
        <v>FRMS-IN-22</v>
      </c>
      <c r="B26" s="133" t="s">
        <v>43</v>
      </c>
      <c r="C26" s="154" t="s">
        <v>720</v>
      </c>
      <c r="D26" s="138"/>
      <c r="E26" s="168"/>
      <c r="F26" s="137"/>
      <c r="G26" s="137" t="s">
        <v>101</v>
      </c>
      <c r="I26" s="131">
        <f t="shared" si="3"/>
        <v>1</v>
      </c>
      <c r="J26" s="131">
        <f t="shared" si="4"/>
        <v>0</v>
      </c>
      <c r="K26" s="131">
        <f t="shared" si="5"/>
        <v>0</v>
      </c>
      <c r="L26" s="115">
        <v>1</v>
      </c>
    </row>
    <row r="27" spans="1:12" ht="30" customHeight="1" x14ac:dyDescent="0.3">
      <c r="A27" s="259" t="str">
        <f>IF(L27=1,"FRMS-IN-"&amp;TEXT(COUNTIF($L$3:L27, "1"), "0"), "")</f>
        <v>FRMS-IN-23</v>
      </c>
      <c r="B27" s="133" t="s">
        <v>43</v>
      </c>
      <c r="C27" s="154" t="s">
        <v>721</v>
      </c>
      <c r="D27" s="138"/>
      <c r="E27" s="168"/>
      <c r="F27" s="137"/>
      <c r="G27" s="137" t="s">
        <v>101</v>
      </c>
      <c r="I27" s="131">
        <f t="shared" si="3"/>
        <v>1</v>
      </c>
      <c r="J27" s="131">
        <f t="shared" si="4"/>
        <v>0</v>
      </c>
      <c r="K27" s="131">
        <f t="shared" si="5"/>
        <v>0</v>
      </c>
      <c r="L27" s="115">
        <v>1</v>
      </c>
    </row>
    <row r="28" spans="1:12" ht="30" customHeight="1" x14ac:dyDescent="0.3">
      <c r="A28" s="259" t="str">
        <f>IF(L28=1,"FRMS-IN-"&amp;TEXT(COUNTIF($L$3:L28, "1"), "0"), "")</f>
        <v>FRMS-IN-24</v>
      </c>
      <c r="B28" s="133" t="s">
        <v>43</v>
      </c>
      <c r="C28" s="154" t="s">
        <v>722</v>
      </c>
      <c r="D28" s="138"/>
      <c r="E28" s="168"/>
      <c r="F28" s="137"/>
      <c r="G28" s="137" t="s">
        <v>101</v>
      </c>
      <c r="I28" s="131">
        <f t="shared" si="3"/>
        <v>1</v>
      </c>
      <c r="J28" s="131">
        <f t="shared" si="4"/>
        <v>0</v>
      </c>
      <c r="K28" s="131">
        <f t="shared" si="5"/>
        <v>0</v>
      </c>
      <c r="L28" s="115">
        <v>1</v>
      </c>
    </row>
    <row r="29" spans="1:12" ht="30" customHeight="1" x14ac:dyDescent="0.3">
      <c r="A29" s="259" t="str">
        <f>IF(L29=1,"FRMS-IN-"&amp;TEXT(COUNTIF($L$3:L29, "1"), "0"), "")</f>
        <v>FRMS-IN-25</v>
      </c>
      <c r="B29" s="133" t="s">
        <v>43</v>
      </c>
      <c r="C29" s="154" t="s">
        <v>723</v>
      </c>
      <c r="D29" s="138"/>
      <c r="E29" s="168"/>
      <c r="F29" s="137"/>
      <c r="G29" s="137" t="s">
        <v>101</v>
      </c>
      <c r="I29" s="131">
        <f t="shared" si="3"/>
        <v>1</v>
      </c>
      <c r="J29" s="131">
        <f t="shared" si="4"/>
        <v>0</v>
      </c>
      <c r="K29" s="131">
        <f t="shared" si="5"/>
        <v>0</v>
      </c>
      <c r="L29" s="115">
        <v>1</v>
      </c>
    </row>
    <row r="30" spans="1:12" ht="30" customHeight="1" x14ac:dyDescent="0.3">
      <c r="A30" s="259" t="str">
        <f>IF(L30=1,"FRMS-IN-"&amp;TEXT(COUNTIF($L$3:L30, "1"), "0"), "")</f>
        <v>FRMS-IN-26</v>
      </c>
      <c r="B30" s="133" t="s">
        <v>43</v>
      </c>
      <c r="C30" s="154" t="s">
        <v>724</v>
      </c>
      <c r="D30" s="138"/>
      <c r="E30" s="168"/>
      <c r="F30" s="137"/>
      <c r="G30" s="137" t="s">
        <v>101</v>
      </c>
      <c r="I30" s="131">
        <f t="shared" si="3"/>
        <v>1</v>
      </c>
      <c r="J30" s="131">
        <f t="shared" si="4"/>
        <v>0</v>
      </c>
      <c r="K30" s="131">
        <f t="shared" si="5"/>
        <v>0</v>
      </c>
      <c r="L30" s="115">
        <v>1</v>
      </c>
    </row>
    <row r="31" spans="1:12" ht="30" customHeight="1" x14ac:dyDescent="0.3">
      <c r="A31" s="259" t="str">
        <f>IF(L31=1,"FRMS-IN-"&amp;TEXT(COUNTIF($L$3:L31, "1"), "0"), "")</f>
        <v>FRMS-IN-27</v>
      </c>
      <c r="B31" s="133" t="s">
        <v>43</v>
      </c>
      <c r="C31" s="154" t="s">
        <v>725</v>
      </c>
      <c r="D31" s="138"/>
      <c r="E31" s="168"/>
      <c r="F31" s="137"/>
      <c r="G31" s="137" t="s">
        <v>101</v>
      </c>
      <c r="I31" s="131">
        <f t="shared" si="3"/>
        <v>1</v>
      </c>
      <c r="J31" s="131">
        <f t="shared" si="4"/>
        <v>0</v>
      </c>
      <c r="K31" s="131">
        <f t="shared" si="5"/>
        <v>0</v>
      </c>
      <c r="L31" s="115">
        <v>1</v>
      </c>
    </row>
    <row r="32" spans="1:12" ht="30" customHeight="1" x14ac:dyDescent="0.3">
      <c r="A32" s="259" t="str">
        <f>IF(L32=1,"FRMS-IN-"&amp;TEXT(COUNTIF($L$3:L32, "1"), "0"), "")</f>
        <v>FRMS-IN-28</v>
      </c>
      <c r="B32" s="133" t="s">
        <v>43</v>
      </c>
      <c r="C32" s="154" t="s">
        <v>726</v>
      </c>
      <c r="D32" s="138"/>
      <c r="E32" s="168"/>
      <c r="F32" s="137"/>
      <c r="G32" s="137" t="s">
        <v>101</v>
      </c>
      <c r="I32" s="131">
        <f t="shared" si="3"/>
        <v>1</v>
      </c>
      <c r="J32" s="131">
        <f t="shared" si="4"/>
        <v>0</v>
      </c>
      <c r="K32" s="131">
        <f t="shared" si="5"/>
        <v>0</v>
      </c>
      <c r="L32" s="115">
        <v>1</v>
      </c>
    </row>
    <row r="33" spans="1:12" ht="30" customHeight="1" x14ac:dyDescent="0.3">
      <c r="A33" s="259" t="str">
        <f>IF(L33=1,"FRMS-IN-"&amp;TEXT(COUNTIF($L$3:L33, "1"), "0"), "")</f>
        <v>FRMS-IN-29</v>
      </c>
      <c r="B33" s="133" t="s">
        <v>43</v>
      </c>
      <c r="C33" s="154" t="s">
        <v>727</v>
      </c>
      <c r="D33" s="138"/>
      <c r="E33" s="168"/>
      <c r="F33" s="137"/>
      <c r="G33" s="137" t="s">
        <v>101</v>
      </c>
      <c r="I33" s="131">
        <f t="shared" si="3"/>
        <v>1</v>
      </c>
      <c r="J33" s="131">
        <f t="shared" si="4"/>
        <v>0</v>
      </c>
      <c r="K33" s="131">
        <f t="shared" si="5"/>
        <v>0</v>
      </c>
      <c r="L33" s="115">
        <v>1</v>
      </c>
    </row>
    <row r="34" spans="1:12" ht="30" customHeight="1" x14ac:dyDescent="0.3">
      <c r="A34" s="259" t="str">
        <f>IF(L34=1,"FRMS-IN-"&amp;TEXT(COUNTIF($L$3:L34, "1"), "0"), "")</f>
        <v>FRMS-IN-30</v>
      </c>
      <c r="B34" s="133" t="s">
        <v>43</v>
      </c>
      <c r="C34" s="154" t="s">
        <v>728</v>
      </c>
      <c r="D34" s="138"/>
      <c r="E34" s="168"/>
      <c r="F34" s="137"/>
      <c r="G34" s="137" t="s">
        <v>101</v>
      </c>
      <c r="I34" s="131">
        <f t="shared" si="3"/>
        <v>1</v>
      </c>
      <c r="J34" s="131">
        <f t="shared" si="4"/>
        <v>0</v>
      </c>
      <c r="K34" s="131">
        <f t="shared" si="5"/>
        <v>0</v>
      </c>
      <c r="L34" s="115">
        <v>1</v>
      </c>
    </row>
    <row r="35" spans="1:12" ht="30" customHeight="1" x14ac:dyDescent="0.3">
      <c r="A35" s="259" t="str">
        <f>IF(L35=1,"FRMS-IN-"&amp;TEXT(COUNTIF($L$3:L35, "1"), "0"), "")</f>
        <v>FRMS-IN-31</v>
      </c>
      <c r="B35" s="133" t="s">
        <v>43</v>
      </c>
      <c r="C35" s="154" t="s">
        <v>729</v>
      </c>
      <c r="D35" s="138"/>
      <c r="E35" s="168"/>
      <c r="F35" s="137"/>
      <c r="G35" s="137" t="s">
        <v>101</v>
      </c>
      <c r="I35" s="131">
        <f t="shared" si="3"/>
        <v>1</v>
      </c>
      <c r="J35" s="131">
        <f t="shared" si="4"/>
        <v>0</v>
      </c>
      <c r="K35" s="131">
        <f t="shared" si="5"/>
        <v>0</v>
      </c>
      <c r="L35" s="115">
        <v>1</v>
      </c>
    </row>
    <row r="36" spans="1:12" ht="30" customHeight="1" x14ac:dyDescent="0.3">
      <c r="A36" s="259" t="str">
        <f>IF(L36=1,"FRMS-IN-"&amp;TEXT(COUNTIF($L$3:L36, "1"), "0"), "")</f>
        <v>FRMS-IN-32</v>
      </c>
      <c r="B36" s="133" t="s">
        <v>43</v>
      </c>
      <c r="C36" s="154" t="s">
        <v>730</v>
      </c>
      <c r="D36" s="138"/>
      <c r="E36" s="168"/>
      <c r="F36" s="137"/>
      <c r="G36" s="137" t="s">
        <v>101</v>
      </c>
      <c r="I36" s="131">
        <f t="shared" si="3"/>
        <v>1</v>
      </c>
      <c r="J36" s="131">
        <f t="shared" si="4"/>
        <v>0</v>
      </c>
      <c r="K36" s="131">
        <f t="shared" si="5"/>
        <v>0</v>
      </c>
      <c r="L36" s="115">
        <v>1</v>
      </c>
    </row>
    <row r="37" spans="1:12" ht="30" customHeight="1" x14ac:dyDescent="0.3">
      <c r="A37" s="259" t="str">
        <f>IF(L37=1,"FRMS-IN-"&amp;TEXT(COUNTIF($L$3:L37, "1"), "0"), "")</f>
        <v>FRMS-IN-33</v>
      </c>
      <c r="B37" s="133" t="s">
        <v>43</v>
      </c>
      <c r="C37" s="154" t="s">
        <v>731</v>
      </c>
      <c r="D37" s="138"/>
      <c r="E37" s="168"/>
      <c r="F37" s="137"/>
      <c r="G37" s="137" t="s">
        <v>101</v>
      </c>
      <c r="I37" s="131">
        <f t="shared" si="3"/>
        <v>1</v>
      </c>
      <c r="J37" s="131">
        <f t="shared" si="4"/>
        <v>0</v>
      </c>
      <c r="K37" s="131">
        <f t="shared" si="5"/>
        <v>0</v>
      </c>
      <c r="L37" s="115">
        <v>1</v>
      </c>
    </row>
    <row r="38" spans="1:12" ht="30" customHeight="1" x14ac:dyDescent="0.3">
      <c r="A38" s="259" t="str">
        <f>IF(L38=1,"FRMS-IN-"&amp;TEXT(COUNTIF($L$3:L38, "1"), "0"), "")</f>
        <v>FRMS-IN-34</v>
      </c>
      <c r="B38" s="133" t="s">
        <v>43</v>
      </c>
      <c r="C38" s="154" t="s">
        <v>732</v>
      </c>
      <c r="D38" s="138"/>
      <c r="E38" s="168"/>
      <c r="F38" s="137"/>
      <c r="G38" s="137" t="s">
        <v>101</v>
      </c>
      <c r="I38" s="131">
        <f t="shared" si="3"/>
        <v>1</v>
      </c>
      <c r="J38" s="131">
        <f t="shared" si="4"/>
        <v>0</v>
      </c>
      <c r="K38" s="131">
        <f t="shared" si="5"/>
        <v>0</v>
      </c>
      <c r="L38" s="115">
        <v>1</v>
      </c>
    </row>
    <row r="39" spans="1:12" ht="30" customHeight="1" x14ac:dyDescent="0.3">
      <c r="A39" s="259" t="str">
        <f>IF(L39=1,"FRMS-IN-"&amp;TEXT(COUNTIF($L$3:L39, "1"), "0"), "")</f>
        <v>FRMS-IN-35</v>
      </c>
      <c r="B39" s="133" t="s">
        <v>43</v>
      </c>
      <c r="C39" s="154" t="s">
        <v>733</v>
      </c>
      <c r="D39" s="138"/>
      <c r="E39" s="168"/>
      <c r="F39" s="137"/>
      <c r="G39" s="137" t="s">
        <v>101</v>
      </c>
      <c r="I39" s="131">
        <f t="shared" si="3"/>
        <v>1</v>
      </c>
      <c r="J39" s="131">
        <f t="shared" si="4"/>
        <v>0</v>
      </c>
      <c r="K39" s="131">
        <f t="shared" si="5"/>
        <v>0</v>
      </c>
      <c r="L39" s="115">
        <v>1</v>
      </c>
    </row>
    <row r="40" spans="1:12" ht="30" customHeight="1" x14ac:dyDescent="0.3">
      <c r="A40" s="259" t="str">
        <f>IF(L40=1,"FRMS-IN-"&amp;TEXT(COUNTIF($L$3:L40, "1"), "0"), "")</f>
        <v>FRMS-IN-36</v>
      </c>
      <c r="B40" s="133" t="s">
        <v>43</v>
      </c>
      <c r="C40" s="154" t="s">
        <v>734</v>
      </c>
      <c r="D40" s="138"/>
      <c r="E40" s="168"/>
      <c r="F40" s="137"/>
      <c r="G40" s="137" t="s">
        <v>101</v>
      </c>
      <c r="I40" s="131">
        <f t="shared" si="3"/>
        <v>1</v>
      </c>
      <c r="J40" s="131">
        <f t="shared" si="4"/>
        <v>0</v>
      </c>
      <c r="K40" s="131">
        <f t="shared" si="5"/>
        <v>0</v>
      </c>
      <c r="L40" s="115">
        <v>1</v>
      </c>
    </row>
    <row r="41" spans="1:12" ht="30" customHeight="1" x14ac:dyDescent="0.3">
      <c r="A41" s="259" t="str">
        <f>IF(L41=1,"FRMS-IN-"&amp;TEXT(COUNTIF($L$3:L41, "1"), "0"), "")</f>
        <v>FRMS-IN-37</v>
      </c>
      <c r="B41" s="133" t="s">
        <v>43</v>
      </c>
      <c r="C41" s="154" t="s">
        <v>735</v>
      </c>
      <c r="D41" s="138"/>
      <c r="E41" s="168"/>
      <c r="F41" s="137"/>
      <c r="G41" s="137" t="s">
        <v>101</v>
      </c>
      <c r="I41" s="131">
        <f t="shared" si="3"/>
        <v>1</v>
      </c>
      <c r="J41" s="131">
        <f t="shared" si="4"/>
        <v>0</v>
      </c>
      <c r="K41" s="131">
        <f t="shared" si="5"/>
        <v>0</v>
      </c>
      <c r="L41" s="115">
        <v>1</v>
      </c>
    </row>
    <row r="42" spans="1:12" ht="30" customHeight="1" x14ac:dyDescent="0.3">
      <c r="A42" s="259" t="str">
        <f>IF(L42=1,"FRMS-IN-"&amp;TEXT(COUNTIF($L$3:L42, "1"), "0"), "")</f>
        <v>FRMS-IN-38</v>
      </c>
      <c r="B42" s="133" t="s">
        <v>43</v>
      </c>
      <c r="C42" s="154" t="s">
        <v>736</v>
      </c>
      <c r="D42" s="138"/>
      <c r="E42" s="168"/>
      <c r="F42" s="137"/>
      <c r="G42" s="137" t="s">
        <v>101</v>
      </c>
      <c r="I42" s="131">
        <f t="shared" si="3"/>
        <v>1</v>
      </c>
      <c r="J42" s="131">
        <f t="shared" si="4"/>
        <v>0</v>
      </c>
      <c r="K42" s="131">
        <f t="shared" si="5"/>
        <v>0</v>
      </c>
      <c r="L42" s="115">
        <v>1</v>
      </c>
    </row>
    <row r="43" spans="1:12" ht="30" customHeight="1" x14ac:dyDescent="0.3">
      <c r="A43" s="259" t="str">
        <f>IF(L43=1,"FRMS-IN-"&amp;TEXT(COUNTIF($L$3:L43, "1"), "0"), "")</f>
        <v>FRMS-IN-39</v>
      </c>
      <c r="B43" s="133" t="s">
        <v>43</v>
      </c>
      <c r="C43" s="154" t="s">
        <v>737</v>
      </c>
      <c r="D43" s="138"/>
      <c r="E43" s="168"/>
      <c r="F43" s="137"/>
      <c r="G43" s="137" t="s">
        <v>101</v>
      </c>
      <c r="I43" s="131">
        <f t="shared" si="3"/>
        <v>1</v>
      </c>
      <c r="J43" s="131">
        <f t="shared" si="4"/>
        <v>0</v>
      </c>
      <c r="K43" s="131">
        <f t="shared" si="5"/>
        <v>0</v>
      </c>
      <c r="L43" s="115">
        <v>1</v>
      </c>
    </row>
    <row r="44" spans="1:12" ht="30" customHeight="1" x14ac:dyDescent="0.3">
      <c r="A44" s="259" t="str">
        <f>IF(L44=1,"FRMS-IN-"&amp;TEXT(COUNTIF($L$3:L44, "1"), "0"), "")</f>
        <v>FRMS-IN-40</v>
      </c>
      <c r="B44" s="133" t="s">
        <v>43</v>
      </c>
      <c r="C44" s="154" t="s">
        <v>738</v>
      </c>
      <c r="D44" s="138"/>
      <c r="E44" s="168"/>
      <c r="F44" s="137"/>
      <c r="G44" s="137" t="s">
        <v>101</v>
      </c>
      <c r="I44" s="131">
        <f t="shared" si="3"/>
        <v>1</v>
      </c>
      <c r="J44" s="131">
        <f t="shared" si="4"/>
        <v>0</v>
      </c>
      <c r="K44" s="131">
        <f t="shared" si="5"/>
        <v>0</v>
      </c>
      <c r="L44" s="115">
        <v>1</v>
      </c>
    </row>
    <row r="45" spans="1:12" ht="30" customHeight="1" x14ac:dyDescent="0.3">
      <c r="A45" s="259" t="str">
        <f>IF(L45=1,"FRMS-IN-"&amp;TEXT(COUNTIF($L$3:L45, "1"), "0"), "")</f>
        <v>FRMS-IN-41</v>
      </c>
      <c r="B45" s="133" t="s">
        <v>43</v>
      </c>
      <c r="C45" s="154" t="s">
        <v>739</v>
      </c>
      <c r="D45" s="138"/>
      <c r="E45" s="168"/>
      <c r="F45" s="137"/>
      <c r="G45" s="137" t="s">
        <v>101</v>
      </c>
      <c r="I45" s="131">
        <f t="shared" si="3"/>
        <v>1</v>
      </c>
      <c r="J45" s="131">
        <f t="shared" si="4"/>
        <v>0</v>
      </c>
      <c r="K45" s="131">
        <f t="shared" si="5"/>
        <v>0</v>
      </c>
      <c r="L45" s="115">
        <v>1</v>
      </c>
    </row>
    <row r="46" spans="1:12" ht="46.8" x14ac:dyDescent="0.3">
      <c r="A46" s="259" t="str">
        <f>IF(L46=1,"FRMS-IN-"&amp;TEXT(COUNTIF($L$3:L46, "1"), "0"), "")</f>
        <v>FRMS-IN-42</v>
      </c>
      <c r="B46" s="133" t="s">
        <v>43</v>
      </c>
      <c r="C46" s="134" t="s">
        <v>740</v>
      </c>
      <c r="D46" s="138"/>
      <c r="E46" s="168"/>
      <c r="F46" s="137"/>
      <c r="G46" s="137" t="s">
        <v>101</v>
      </c>
      <c r="I46" s="131">
        <f t="shared" si="3"/>
        <v>1</v>
      </c>
      <c r="J46" s="131">
        <f t="shared" si="4"/>
        <v>0</v>
      </c>
      <c r="K46" s="131">
        <f t="shared" si="5"/>
        <v>0</v>
      </c>
      <c r="L46" s="115">
        <v>1</v>
      </c>
    </row>
    <row r="47" spans="1:12" ht="30" customHeight="1" x14ac:dyDescent="0.3">
      <c r="A47" s="259" t="str">
        <f>IF(L47=1,"FRMS-IN-"&amp;TEXT(COUNTIF($L$3:L47, "1"), "0"), "")</f>
        <v>FRMS-IN-43</v>
      </c>
      <c r="B47" s="133" t="s">
        <v>43</v>
      </c>
      <c r="C47" s="134" t="s">
        <v>741</v>
      </c>
      <c r="D47" s="138"/>
      <c r="E47" s="168"/>
      <c r="F47" s="137"/>
      <c r="G47" s="137" t="s">
        <v>101</v>
      </c>
      <c r="I47" s="131">
        <f t="shared" si="3"/>
        <v>1</v>
      </c>
      <c r="J47" s="131">
        <f t="shared" si="4"/>
        <v>0</v>
      </c>
      <c r="K47" s="131">
        <f t="shared" si="5"/>
        <v>0</v>
      </c>
      <c r="L47" s="115">
        <v>1</v>
      </c>
    </row>
    <row r="48" spans="1:12" ht="31.2" x14ac:dyDescent="0.3">
      <c r="A48" s="259" t="str">
        <f>IF(L48=1,"FRMS-IN-"&amp;TEXT(COUNTIF($L$3:L48, "1"), "0"), "")</f>
        <v>FRMS-IN-44</v>
      </c>
      <c r="B48" s="133" t="s">
        <v>43</v>
      </c>
      <c r="C48" s="134" t="s">
        <v>742</v>
      </c>
      <c r="D48" s="138"/>
      <c r="E48" s="168"/>
      <c r="F48" s="137"/>
      <c r="G48" s="137" t="s">
        <v>101</v>
      </c>
      <c r="I48" s="131">
        <f t="shared" si="3"/>
        <v>1</v>
      </c>
      <c r="J48" s="131">
        <f t="shared" si="4"/>
        <v>0</v>
      </c>
      <c r="K48" s="131">
        <f t="shared" si="5"/>
        <v>0</v>
      </c>
      <c r="L48" s="115">
        <v>1</v>
      </c>
    </row>
    <row r="49" spans="1:12" ht="30" customHeight="1" x14ac:dyDescent="0.3">
      <c r="A49" s="259" t="str">
        <f>IF(L49=1,"FRMS-IN-"&amp;TEXT(COUNTIF($L$3:L49, "1"), "0"), "")</f>
        <v>FRMS-IN-45</v>
      </c>
      <c r="B49" s="133" t="s">
        <v>43</v>
      </c>
      <c r="C49" s="134" t="s">
        <v>743</v>
      </c>
      <c r="D49" s="138"/>
      <c r="E49" s="168"/>
      <c r="F49" s="137"/>
      <c r="G49" s="137" t="s">
        <v>101</v>
      </c>
      <c r="I49" s="131">
        <f t="shared" si="3"/>
        <v>1</v>
      </c>
      <c r="J49" s="131">
        <f t="shared" si="4"/>
        <v>0</v>
      </c>
      <c r="K49" s="131">
        <f t="shared" si="5"/>
        <v>0</v>
      </c>
      <c r="L49" s="115">
        <v>1</v>
      </c>
    </row>
    <row r="50" spans="1:12" ht="30" customHeight="1" x14ac:dyDescent="0.3">
      <c r="A50" s="259" t="str">
        <f>IF(L50=1,"FRMS-IN-"&amp;TEXT(COUNTIF($L$3:L50, "1"), "0"), "")</f>
        <v>FRMS-IN-46</v>
      </c>
      <c r="B50" s="169" t="s">
        <v>43</v>
      </c>
      <c r="C50" s="271" t="s">
        <v>744</v>
      </c>
      <c r="D50" s="323"/>
      <c r="E50" s="175"/>
      <c r="F50" s="176"/>
      <c r="G50" s="176" t="s">
        <v>101</v>
      </c>
      <c r="I50" s="131">
        <f t="shared" si="3"/>
        <v>1</v>
      </c>
      <c r="J50" s="131">
        <f t="shared" si="4"/>
        <v>0</v>
      </c>
      <c r="K50" s="131">
        <f t="shared" si="5"/>
        <v>0</v>
      </c>
      <c r="L50" s="115">
        <v>1</v>
      </c>
    </row>
    <row r="51" spans="1:12" ht="31.2" x14ac:dyDescent="0.3">
      <c r="A51" s="316"/>
      <c r="B51" s="126"/>
      <c r="C51" s="243" t="s">
        <v>745</v>
      </c>
      <c r="D51" s="194"/>
      <c r="E51" s="180"/>
      <c r="F51" s="181"/>
      <c r="G51" s="182"/>
    </row>
    <row r="52" spans="1:12" ht="30" customHeight="1" x14ac:dyDescent="0.3">
      <c r="A52" s="259" t="str">
        <f>IF(L52=1,"FRMS-IN-"&amp;TEXT(COUNTIF($L$3:L52, "1"), "0"), "")</f>
        <v>FRMS-IN-47</v>
      </c>
      <c r="B52" s="183" t="s">
        <v>43</v>
      </c>
      <c r="C52" s="278" t="s">
        <v>746</v>
      </c>
      <c r="D52" s="185"/>
      <c r="E52" s="186"/>
      <c r="F52" s="187"/>
      <c r="G52" s="187" t="s">
        <v>101</v>
      </c>
      <c r="I52" s="131">
        <f t="shared" ref="I52:I61" si="6">IF(NOT(ISBLANK($B52)),VLOOKUP($B52,specdata,2,FALSE()),"")</f>
        <v>1</v>
      </c>
      <c r="J52" s="131">
        <f t="shared" ref="J52:J61" si="7">VLOOKUP(G52,AvailabilityData,2,FALSE())</f>
        <v>0</v>
      </c>
      <c r="K52" s="131">
        <f t="shared" ref="K52:K61" si="8">I52*J52</f>
        <v>0</v>
      </c>
      <c r="L52" s="115">
        <v>1</v>
      </c>
    </row>
    <row r="53" spans="1:12" ht="30" customHeight="1" x14ac:dyDescent="0.3">
      <c r="A53" s="259" t="str">
        <f>IF(L53=1,"FRMS-IN-"&amp;TEXT(COUNTIF($L$3:L53, "1"), "0"), "")</f>
        <v>FRMS-IN-48</v>
      </c>
      <c r="B53" s="133" t="s">
        <v>43</v>
      </c>
      <c r="C53" s="154" t="s">
        <v>747</v>
      </c>
      <c r="D53" s="138"/>
      <c r="E53" s="168"/>
      <c r="F53" s="137"/>
      <c r="G53" s="137" t="s">
        <v>101</v>
      </c>
      <c r="I53" s="131">
        <f t="shared" si="6"/>
        <v>1</v>
      </c>
      <c r="J53" s="131">
        <f t="shared" si="7"/>
        <v>0</v>
      </c>
      <c r="K53" s="131">
        <f t="shared" si="8"/>
        <v>0</v>
      </c>
      <c r="L53" s="115">
        <v>1</v>
      </c>
    </row>
    <row r="54" spans="1:12" ht="30" customHeight="1" x14ac:dyDescent="0.3">
      <c r="A54" s="259" t="str">
        <f>IF(L54=1,"FRMS-IN-"&amp;TEXT(COUNTIF($L$3:L54, "1"), "0"), "")</f>
        <v>FRMS-IN-49</v>
      </c>
      <c r="B54" s="133" t="s">
        <v>43</v>
      </c>
      <c r="C54" s="154" t="s">
        <v>748</v>
      </c>
      <c r="D54" s="138"/>
      <c r="E54" s="168"/>
      <c r="F54" s="137"/>
      <c r="G54" s="137" t="s">
        <v>101</v>
      </c>
      <c r="I54" s="131">
        <f t="shared" si="6"/>
        <v>1</v>
      </c>
      <c r="J54" s="131">
        <f t="shared" si="7"/>
        <v>0</v>
      </c>
      <c r="K54" s="131">
        <f t="shared" si="8"/>
        <v>0</v>
      </c>
      <c r="L54" s="115">
        <v>1</v>
      </c>
    </row>
    <row r="55" spans="1:12" ht="30" customHeight="1" x14ac:dyDescent="0.3">
      <c r="A55" s="259" t="str">
        <f>IF(L55=1,"FRMS-IN-"&amp;TEXT(COUNTIF($L$3:L55, "1"), "0"), "")</f>
        <v>FRMS-IN-50</v>
      </c>
      <c r="B55" s="133" t="s">
        <v>43</v>
      </c>
      <c r="C55" s="154" t="s">
        <v>749</v>
      </c>
      <c r="D55" s="138"/>
      <c r="E55" s="168"/>
      <c r="F55" s="137"/>
      <c r="G55" s="137" t="s">
        <v>101</v>
      </c>
      <c r="I55" s="131">
        <f t="shared" si="6"/>
        <v>1</v>
      </c>
      <c r="J55" s="131">
        <f t="shared" si="7"/>
        <v>0</v>
      </c>
      <c r="K55" s="131">
        <f t="shared" si="8"/>
        <v>0</v>
      </c>
      <c r="L55" s="115">
        <v>1</v>
      </c>
    </row>
    <row r="56" spans="1:12" ht="30" customHeight="1" x14ac:dyDescent="0.3">
      <c r="A56" s="259" t="str">
        <f>IF(L56=1,"FRMS-IN-"&amp;TEXT(COUNTIF($L$3:L56, "1"), "0"), "")</f>
        <v>FRMS-IN-51</v>
      </c>
      <c r="B56" s="133" t="s">
        <v>43</v>
      </c>
      <c r="C56" s="154" t="s">
        <v>750</v>
      </c>
      <c r="D56" s="138"/>
      <c r="E56" s="168"/>
      <c r="F56" s="137"/>
      <c r="G56" s="137" t="s">
        <v>101</v>
      </c>
      <c r="I56" s="131">
        <f t="shared" si="6"/>
        <v>1</v>
      </c>
      <c r="J56" s="131">
        <f t="shared" si="7"/>
        <v>0</v>
      </c>
      <c r="K56" s="131">
        <f t="shared" si="8"/>
        <v>0</v>
      </c>
      <c r="L56" s="115">
        <v>1</v>
      </c>
    </row>
    <row r="57" spans="1:12" ht="30" customHeight="1" x14ac:dyDescent="0.3">
      <c r="A57" s="259" t="str">
        <f>IF(L57=1,"FRMS-IN-"&amp;TEXT(COUNTIF($L$3:L57, "1"), "0"), "")</f>
        <v>FRMS-IN-52</v>
      </c>
      <c r="B57" s="133" t="s">
        <v>43</v>
      </c>
      <c r="C57" s="154" t="s">
        <v>751</v>
      </c>
      <c r="D57" s="138"/>
      <c r="E57" s="168"/>
      <c r="F57" s="137"/>
      <c r="G57" s="137" t="s">
        <v>101</v>
      </c>
      <c r="I57" s="131">
        <f t="shared" si="6"/>
        <v>1</v>
      </c>
      <c r="J57" s="131">
        <f t="shared" si="7"/>
        <v>0</v>
      </c>
      <c r="K57" s="131">
        <f t="shared" si="8"/>
        <v>0</v>
      </c>
      <c r="L57" s="115">
        <v>1</v>
      </c>
    </row>
    <row r="58" spans="1:12" ht="30" customHeight="1" x14ac:dyDescent="0.3">
      <c r="A58" s="259" t="str">
        <f>IF(L58=1,"FRMS-IN-"&amp;TEXT(COUNTIF($L$3:L58, "1"), "0"), "")</f>
        <v>FRMS-IN-53</v>
      </c>
      <c r="B58" s="133" t="s">
        <v>43</v>
      </c>
      <c r="C58" s="154" t="s">
        <v>752</v>
      </c>
      <c r="D58" s="138"/>
      <c r="E58" s="168"/>
      <c r="F58" s="137"/>
      <c r="G58" s="137" t="s">
        <v>101</v>
      </c>
      <c r="I58" s="131">
        <f t="shared" si="6"/>
        <v>1</v>
      </c>
      <c r="J58" s="131">
        <f t="shared" si="7"/>
        <v>0</v>
      </c>
      <c r="K58" s="131">
        <f t="shared" si="8"/>
        <v>0</v>
      </c>
      <c r="L58" s="115">
        <v>1</v>
      </c>
    </row>
    <row r="59" spans="1:12" ht="62.4" x14ac:dyDescent="0.3">
      <c r="A59" s="259" t="str">
        <f>IF(L59=1,"FRMS-IN-"&amp;TEXT(COUNTIF($L$3:L59, "1"), "0"), "")</f>
        <v>FRMS-IN-54</v>
      </c>
      <c r="B59" s="133" t="s">
        <v>43</v>
      </c>
      <c r="C59" s="134" t="s">
        <v>753</v>
      </c>
      <c r="D59" s="138"/>
      <c r="E59" s="168"/>
      <c r="F59" s="137"/>
      <c r="G59" s="137" t="s">
        <v>101</v>
      </c>
      <c r="I59" s="131">
        <f t="shared" si="6"/>
        <v>1</v>
      </c>
      <c r="J59" s="131">
        <f t="shared" si="7"/>
        <v>0</v>
      </c>
      <c r="K59" s="131">
        <f t="shared" si="8"/>
        <v>0</v>
      </c>
      <c r="L59" s="115">
        <v>1</v>
      </c>
    </row>
    <row r="60" spans="1:12" ht="30" customHeight="1" x14ac:dyDescent="0.3">
      <c r="A60" s="259" t="str">
        <f>IF(L60=1,"FRMS-IN-"&amp;TEXT(COUNTIF($L$3:L60, "1"), "0"), "")</f>
        <v>FRMS-IN-55</v>
      </c>
      <c r="B60" s="133" t="s">
        <v>43</v>
      </c>
      <c r="C60" s="134" t="s">
        <v>754</v>
      </c>
      <c r="D60" s="138"/>
      <c r="E60" s="168"/>
      <c r="F60" s="137"/>
      <c r="G60" s="137" t="s">
        <v>101</v>
      </c>
      <c r="I60" s="131">
        <f t="shared" si="6"/>
        <v>1</v>
      </c>
      <c r="J60" s="131">
        <f t="shared" si="7"/>
        <v>0</v>
      </c>
      <c r="K60" s="131">
        <f t="shared" si="8"/>
        <v>0</v>
      </c>
      <c r="L60" s="115">
        <v>1</v>
      </c>
    </row>
    <row r="61" spans="1:12" ht="46.8" x14ac:dyDescent="0.3">
      <c r="A61" s="259" t="str">
        <f>IF(L61=1,"FRMS-IN-"&amp;TEXT(COUNTIF($L$3:L61, "1"), "0"), "")</f>
        <v>FRMS-IN-56</v>
      </c>
      <c r="B61" s="169" t="s">
        <v>43</v>
      </c>
      <c r="C61" s="271" t="s">
        <v>755</v>
      </c>
      <c r="D61" s="323"/>
      <c r="E61" s="175"/>
      <c r="F61" s="176"/>
      <c r="G61" s="176" t="s">
        <v>101</v>
      </c>
      <c r="I61" s="131">
        <f t="shared" si="6"/>
        <v>1</v>
      </c>
      <c r="J61" s="131">
        <f t="shared" si="7"/>
        <v>0</v>
      </c>
      <c r="K61" s="131">
        <f t="shared" si="8"/>
        <v>0</v>
      </c>
      <c r="L61" s="115">
        <v>1</v>
      </c>
    </row>
    <row r="62" spans="1:12" ht="19.5" customHeight="1" x14ac:dyDescent="0.3">
      <c r="A62" s="316"/>
      <c r="B62" s="126"/>
      <c r="C62" s="243" t="s">
        <v>756</v>
      </c>
      <c r="D62" s="194"/>
      <c r="E62" s="180"/>
      <c r="F62" s="181"/>
      <c r="G62" s="182"/>
    </row>
    <row r="63" spans="1:12" ht="30" customHeight="1" x14ac:dyDescent="0.3">
      <c r="A63" s="259" t="str">
        <f>IF(L63=1,"FRMS-IN-"&amp;TEXT(COUNTIF($L$3:L63, "1"), "0"), "")</f>
        <v>FRMS-IN-57</v>
      </c>
      <c r="B63" s="183" t="s">
        <v>43</v>
      </c>
      <c r="C63" s="278" t="s">
        <v>757</v>
      </c>
      <c r="D63" s="185"/>
      <c r="E63" s="186"/>
      <c r="F63" s="187"/>
      <c r="G63" s="187" t="s">
        <v>101</v>
      </c>
      <c r="I63" s="131">
        <f t="shared" ref="I63:I80" si="9">IF(NOT(ISBLANK($B63)),VLOOKUP($B63,specdata,2,FALSE()),"")</f>
        <v>1</v>
      </c>
      <c r="J63" s="131">
        <f t="shared" ref="J63:J80" si="10">VLOOKUP(G63,AvailabilityData,2,FALSE())</f>
        <v>0</v>
      </c>
      <c r="K63" s="131">
        <f t="shared" ref="K63:K80" si="11">I63*J63</f>
        <v>0</v>
      </c>
      <c r="L63" s="115">
        <v>1</v>
      </c>
    </row>
    <row r="64" spans="1:12" ht="30" customHeight="1" x14ac:dyDescent="0.3">
      <c r="A64" s="259" t="str">
        <f>IF(L64=1,"FRMS-IN-"&amp;TEXT(COUNTIF($L$3:L64, "1"), "0"), "")</f>
        <v>FRMS-IN-58</v>
      </c>
      <c r="B64" s="133" t="s">
        <v>43</v>
      </c>
      <c r="C64" s="154" t="s">
        <v>758</v>
      </c>
      <c r="D64" s="138"/>
      <c r="E64" s="168"/>
      <c r="F64" s="137"/>
      <c r="G64" s="137" t="s">
        <v>101</v>
      </c>
      <c r="I64" s="131">
        <f t="shared" si="9"/>
        <v>1</v>
      </c>
      <c r="J64" s="131">
        <f t="shared" si="10"/>
        <v>0</v>
      </c>
      <c r="K64" s="131">
        <f t="shared" si="11"/>
        <v>0</v>
      </c>
      <c r="L64" s="115">
        <v>1</v>
      </c>
    </row>
    <row r="65" spans="1:12" ht="30" customHeight="1" x14ac:dyDescent="0.3">
      <c r="A65" s="259" t="str">
        <f>IF(L65=1,"FRMS-IN-"&amp;TEXT(COUNTIF($L$3:L65, "1"), "0"), "")</f>
        <v>FRMS-IN-59</v>
      </c>
      <c r="B65" s="133" t="s">
        <v>43</v>
      </c>
      <c r="C65" s="154" t="s">
        <v>759</v>
      </c>
      <c r="D65" s="138"/>
      <c r="E65" s="168"/>
      <c r="F65" s="137"/>
      <c r="G65" s="137" t="s">
        <v>101</v>
      </c>
      <c r="I65" s="131">
        <f t="shared" si="9"/>
        <v>1</v>
      </c>
      <c r="J65" s="131">
        <f t="shared" si="10"/>
        <v>0</v>
      </c>
      <c r="K65" s="131">
        <f t="shared" si="11"/>
        <v>0</v>
      </c>
      <c r="L65" s="115">
        <v>1</v>
      </c>
    </row>
    <row r="66" spans="1:12" ht="30" customHeight="1" x14ac:dyDescent="0.3">
      <c r="A66" s="259" t="str">
        <f>IF(L66=1,"FRMS-IN-"&amp;TEXT(COUNTIF($L$3:L66, "1"), "0"), "")</f>
        <v>FRMS-IN-60</v>
      </c>
      <c r="B66" s="133" t="s">
        <v>43</v>
      </c>
      <c r="C66" s="154" t="s">
        <v>760</v>
      </c>
      <c r="D66" s="138"/>
      <c r="E66" s="168"/>
      <c r="F66" s="137"/>
      <c r="G66" s="137" t="s">
        <v>101</v>
      </c>
      <c r="I66" s="131">
        <f t="shared" si="9"/>
        <v>1</v>
      </c>
      <c r="J66" s="131">
        <f t="shared" si="10"/>
        <v>0</v>
      </c>
      <c r="K66" s="131">
        <f t="shared" si="11"/>
        <v>0</v>
      </c>
      <c r="L66" s="115">
        <v>1</v>
      </c>
    </row>
    <row r="67" spans="1:12" ht="30" customHeight="1" x14ac:dyDescent="0.3">
      <c r="A67" s="259" t="str">
        <f>IF(L67=1,"FRMS-IN-"&amp;TEXT(COUNTIF($L$3:L67, "1"), "0"), "")</f>
        <v>FRMS-IN-61</v>
      </c>
      <c r="B67" s="133" t="s">
        <v>43</v>
      </c>
      <c r="C67" s="154" t="s">
        <v>761</v>
      </c>
      <c r="D67" s="138"/>
      <c r="E67" s="168"/>
      <c r="F67" s="137"/>
      <c r="G67" s="137" t="s">
        <v>101</v>
      </c>
      <c r="I67" s="131">
        <f t="shared" si="9"/>
        <v>1</v>
      </c>
      <c r="J67" s="131">
        <f t="shared" si="10"/>
        <v>0</v>
      </c>
      <c r="K67" s="131">
        <f t="shared" si="11"/>
        <v>0</v>
      </c>
      <c r="L67" s="115">
        <v>1</v>
      </c>
    </row>
    <row r="68" spans="1:12" ht="30" customHeight="1" x14ac:dyDescent="0.3">
      <c r="A68" s="259" t="str">
        <f>IF(L68=1,"FRMS-IN-"&amp;TEXT(COUNTIF($L$3:L68, "1"), "0"), "")</f>
        <v>FRMS-IN-62</v>
      </c>
      <c r="B68" s="133" t="s">
        <v>43</v>
      </c>
      <c r="C68" s="154" t="s">
        <v>762</v>
      </c>
      <c r="D68" s="138"/>
      <c r="E68" s="168"/>
      <c r="F68" s="137"/>
      <c r="G68" s="137" t="s">
        <v>101</v>
      </c>
      <c r="I68" s="131">
        <f t="shared" si="9"/>
        <v>1</v>
      </c>
      <c r="J68" s="131">
        <f t="shared" si="10"/>
        <v>0</v>
      </c>
      <c r="K68" s="131">
        <f t="shared" si="11"/>
        <v>0</v>
      </c>
      <c r="L68" s="115">
        <v>1</v>
      </c>
    </row>
    <row r="69" spans="1:12" ht="30" customHeight="1" x14ac:dyDescent="0.3">
      <c r="A69" s="259" t="str">
        <f>IF(L69=1,"FRMS-IN-"&amp;TEXT(COUNTIF($L$3:L69, "1"), "0"), "")</f>
        <v>FRMS-IN-63</v>
      </c>
      <c r="B69" s="133" t="s">
        <v>43</v>
      </c>
      <c r="C69" s="154" t="s">
        <v>763</v>
      </c>
      <c r="D69" s="138"/>
      <c r="E69" s="168"/>
      <c r="F69" s="137"/>
      <c r="G69" s="137" t="s">
        <v>101</v>
      </c>
      <c r="I69" s="131">
        <f t="shared" si="9"/>
        <v>1</v>
      </c>
      <c r="J69" s="131">
        <f t="shared" si="10"/>
        <v>0</v>
      </c>
      <c r="K69" s="131">
        <f t="shared" si="11"/>
        <v>0</v>
      </c>
      <c r="L69" s="115">
        <v>1</v>
      </c>
    </row>
    <row r="70" spans="1:12" ht="30" customHeight="1" x14ac:dyDescent="0.3">
      <c r="A70" s="259" t="str">
        <f>IF(L70=1,"FRMS-IN-"&amp;TEXT(COUNTIF($L$3:L70, "1"), "0"), "")</f>
        <v>FRMS-IN-64</v>
      </c>
      <c r="B70" s="133" t="s">
        <v>43</v>
      </c>
      <c r="C70" s="154" t="s">
        <v>764</v>
      </c>
      <c r="D70" s="138"/>
      <c r="E70" s="168"/>
      <c r="F70" s="137"/>
      <c r="G70" s="137" t="s">
        <v>101</v>
      </c>
      <c r="I70" s="131">
        <f t="shared" si="9"/>
        <v>1</v>
      </c>
      <c r="J70" s="131">
        <f t="shared" si="10"/>
        <v>0</v>
      </c>
      <c r="K70" s="131">
        <f t="shared" si="11"/>
        <v>0</v>
      </c>
      <c r="L70" s="115">
        <v>1</v>
      </c>
    </row>
    <row r="71" spans="1:12" ht="30" customHeight="1" x14ac:dyDescent="0.3">
      <c r="A71" s="259" t="str">
        <f>IF(L71=1,"FRMS-IN-"&amp;TEXT(COUNTIF($L$3:L71, "1"), "0"), "")</f>
        <v>FRMS-IN-65</v>
      </c>
      <c r="B71" s="133" t="s">
        <v>43</v>
      </c>
      <c r="C71" s="154" t="s">
        <v>765</v>
      </c>
      <c r="D71" s="138"/>
      <c r="E71" s="168"/>
      <c r="F71" s="137"/>
      <c r="G71" s="137" t="s">
        <v>101</v>
      </c>
      <c r="I71" s="131">
        <f t="shared" si="9"/>
        <v>1</v>
      </c>
      <c r="J71" s="131">
        <f t="shared" si="10"/>
        <v>0</v>
      </c>
      <c r="K71" s="131">
        <f t="shared" si="11"/>
        <v>0</v>
      </c>
      <c r="L71" s="115">
        <v>1</v>
      </c>
    </row>
    <row r="72" spans="1:12" ht="30" customHeight="1" x14ac:dyDescent="0.3">
      <c r="A72" s="259" t="str">
        <f>IF(L72=1,"FRMS-IN-"&amp;TEXT(COUNTIF($L$3:L72, "1"), "0"), "")</f>
        <v>FRMS-IN-66</v>
      </c>
      <c r="B72" s="133" t="s">
        <v>43</v>
      </c>
      <c r="C72" s="154" t="s">
        <v>766</v>
      </c>
      <c r="D72" s="138"/>
      <c r="E72" s="168"/>
      <c r="F72" s="137"/>
      <c r="G72" s="137" t="s">
        <v>101</v>
      </c>
      <c r="I72" s="131">
        <f t="shared" si="9"/>
        <v>1</v>
      </c>
      <c r="J72" s="131">
        <f t="shared" si="10"/>
        <v>0</v>
      </c>
      <c r="K72" s="131">
        <f t="shared" si="11"/>
        <v>0</v>
      </c>
      <c r="L72" s="115">
        <v>1</v>
      </c>
    </row>
    <row r="73" spans="1:12" ht="30" customHeight="1" x14ac:dyDescent="0.3">
      <c r="A73" s="259" t="str">
        <f>IF(L73=1,"FRMS-IN-"&amp;TEXT(COUNTIF($L$3:L73, "1"), "0"), "")</f>
        <v>FRMS-IN-67</v>
      </c>
      <c r="B73" s="133" t="s">
        <v>43</v>
      </c>
      <c r="C73" s="154" t="s">
        <v>767</v>
      </c>
      <c r="D73" s="138"/>
      <c r="E73" s="168"/>
      <c r="F73" s="137"/>
      <c r="G73" s="137" t="s">
        <v>101</v>
      </c>
      <c r="I73" s="131">
        <f t="shared" si="9"/>
        <v>1</v>
      </c>
      <c r="J73" s="131">
        <f t="shared" si="10"/>
        <v>0</v>
      </c>
      <c r="K73" s="131">
        <f t="shared" si="11"/>
        <v>0</v>
      </c>
      <c r="L73" s="115">
        <v>1</v>
      </c>
    </row>
    <row r="74" spans="1:12" ht="45" customHeight="1" x14ac:dyDescent="0.3">
      <c r="A74" s="259" t="str">
        <f>IF(L74=1,"FRMS-IN-"&amp;TEXT(COUNTIF($L$3:L74, "1"), "0"), "")</f>
        <v>FRMS-IN-68</v>
      </c>
      <c r="B74" s="133" t="s">
        <v>43</v>
      </c>
      <c r="C74" s="154" t="s">
        <v>768</v>
      </c>
      <c r="D74" s="138"/>
      <c r="E74" s="168"/>
      <c r="F74" s="137"/>
      <c r="G74" s="137" t="s">
        <v>101</v>
      </c>
      <c r="I74" s="131">
        <f t="shared" si="9"/>
        <v>1</v>
      </c>
      <c r="J74" s="131">
        <f t="shared" si="10"/>
        <v>0</v>
      </c>
      <c r="K74" s="131">
        <f t="shared" si="11"/>
        <v>0</v>
      </c>
      <c r="L74" s="115">
        <v>1</v>
      </c>
    </row>
    <row r="75" spans="1:12" ht="40.5" customHeight="1" x14ac:dyDescent="0.3">
      <c r="A75" s="259" t="str">
        <f>IF(L75=1,"FRMS-IN-"&amp;TEXT(COUNTIF($L$3:L75, "1"), "0"), "")</f>
        <v>FRMS-IN-69</v>
      </c>
      <c r="B75" s="133" t="s">
        <v>43</v>
      </c>
      <c r="C75" s="154" t="s">
        <v>769</v>
      </c>
      <c r="D75" s="138"/>
      <c r="E75" s="168"/>
      <c r="F75" s="137"/>
      <c r="G75" s="137" t="s">
        <v>101</v>
      </c>
      <c r="I75" s="131">
        <f t="shared" si="9"/>
        <v>1</v>
      </c>
      <c r="J75" s="131">
        <f t="shared" si="10"/>
        <v>0</v>
      </c>
      <c r="K75" s="131">
        <f t="shared" si="11"/>
        <v>0</v>
      </c>
      <c r="L75" s="115">
        <v>1</v>
      </c>
    </row>
    <row r="76" spans="1:12" ht="30" customHeight="1" x14ac:dyDescent="0.3">
      <c r="A76" s="259" t="str">
        <f>IF(L76=1,"FRMS-IN-"&amp;TEXT(COUNTIF($L$3:L76, "1"), "0"), "")</f>
        <v>FRMS-IN-70</v>
      </c>
      <c r="B76" s="133" t="s">
        <v>43</v>
      </c>
      <c r="C76" s="154" t="s">
        <v>770</v>
      </c>
      <c r="D76" s="138"/>
      <c r="E76" s="168"/>
      <c r="F76" s="137"/>
      <c r="G76" s="137" t="s">
        <v>101</v>
      </c>
      <c r="I76" s="131">
        <f t="shared" si="9"/>
        <v>1</v>
      </c>
      <c r="J76" s="131">
        <f t="shared" si="10"/>
        <v>0</v>
      </c>
      <c r="K76" s="131">
        <f t="shared" si="11"/>
        <v>0</v>
      </c>
      <c r="L76" s="115">
        <v>1</v>
      </c>
    </row>
    <row r="77" spans="1:12" ht="30" customHeight="1" x14ac:dyDescent="0.3">
      <c r="A77" s="259" t="str">
        <f>IF(L77=1,"FRMS-IN-"&amp;TEXT(COUNTIF($L$3:L77, "1"), "0"), "")</f>
        <v>FRMS-IN-71</v>
      </c>
      <c r="B77" s="133" t="s">
        <v>43</v>
      </c>
      <c r="C77" s="154" t="s">
        <v>771</v>
      </c>
      <c r="D77" s="138"/>
      <c r="E77" s="168"/>
      <c r="F77" s="137"/>
      <c r="G77" s="137" t="s">
        <v>101</v>
      </c>
      <c r="I77" s="131">
        <f t="shared" si="9"/>
        <v>1</v>
      </c>
      <c r="J77" s="131">
        <f t="shared" si="10"/>
        <v>0</v>
      </c>
      <c r="K77" s="131">
        <f t="shared" si="11"/>
        <v>0</v>
      </c>
      <c r="L77" s="115">
        <v>1</v>
      </c>
    </row>
    <row r="78" spans="1:12" ht="30" customHeight="1" x14ac:dyDescent="0.3">
      <c r="A78" s="259" t="str">
        <f>IF(L78=1,"FRMS-IN-"&amp;TEXT(COUNTIF($L$3:L78, "1"), "0"), "")</f>
        <v>FRMS-IN-72</v>
      </c>
      <c r="B78" s="133" t="s">
        <v>43</v>
      </c>
      <c r="C78" s="154" t="s">
        <v>772</v>
      </c>
      <c r="D78" s="138"/>
      <c r="E78" s="168"/>
      <c r="F78" s="137"/>
      <c r="G78" s="137" t="s">
        <v>101</v>
      </c>
      <c r="I78" s="131">
        <f t="shared" si="9"/>
        <v>1</v>
      </c>
      <c r="J78" s="131">
        <f t="shared" si="10"/>
        <v>0</v>
      </c>
      <c r="K78" s="131">
        <f t="shared" si="11"/>
        <v>0</v>
      </c>
      <c r="L78" s="115">
        <v>1</v>
      </c>
    </row>
    <row r="79" spans="1:12" ht="46.8" x14ac:dyDescent="0.3">
      <c r="A79" s="259" t="str">
        <f>IF(L79=1,"FRMS-IN-"&amp;TEXT(COUNTIF($L$3:L79, "1"), "0"), "")</f>
        <v>FRMS-IN-73</v>
      </c>
      <c r="B79" s="133" t="s">
        <v>43</v>
      </c>
      <c r="C79" s="134" t="s">
        <v>773</v>
      </c>
      <c r="D79" s="138"/>
      <c r="E79" s="168"/>
      <c r="F79" s="137"/>
      <c r="G79" s="137" t="s">
        <v>101</v>
      </c>
      <c r="I79" s="131">
        <f t="shared" si="9"/>
        <v>1</v>
      </c>
      <c r="J79" s="131">
        <f t="shared" si="10"/>
        <v>0</v>
      </c>
      <c r="K79" s="131">
        <f t="shared" si="11"/>
        <v>0</v>
      </c>
      <c r="L79" s="115">
        <v>1</v>
      </c>
    </row>
    <row r="80" spans="1:12" ht="78" x14ac:dyDescent="0.3">
      <c r="A80" s="259" t="str">
        <f>IF(L80=1,"FRMS-IN-"&amp;TEXT(COUNTIF($L$3:L80, "1"), "0"), "")</f>
        <v>FRMS-IN-74</v>
      </c>
      <c r="B80" s="169" t="s">
        <v>43</v>
      </c>
      <c r="C80" s="271" t="s">
        <v>774</v>
      </c>
      <c r="D80" s="323"/>
      <c r="E80" s="175"/>
      <c r="F80" s="176"/>
      <c r="G80" s="176" t="s">
        <v>101</v>
      </c>
      <c r="I80" s="131">
        <f t="shared" si="9"/>
        <v>1</v>
      </c>
      <c r="J80" s="131">
        <f t="shared" si="10"/>
        <v>0</v>
      </c>
      <c r="K80" s="131">
        <f t="shared" si="11"/>
        <v>0</v>
      </c>
      <c r="L80" s="115">
        <v>1</v>
      </c>
    </row>
    <row r="81" spans="1:12" x14ac:dyDescent="0.3">
      <c r="A81" s="316"/>
      <c r="B81" s="126"/>
      <c r="C81" s="243" t="s">
        <v>775</v>
      </c>
      <c r="D81" s="194"/>
      <c r="E81" s="180"/>
      <c r="F81" s="181"/>
      <c r="G81" s="182"/>
    </row>
    <row r="82" spans="1:12" ht="30" customHeight="1" x14ac:dyDescent="0.3">
      <c r="A82" s="259" t="str">
        <f>IF(L82=1,"FRMS-IN-"&amp;TEXT(COUNTIF($L$3:L82, "1"), "0"), "")</f>
        <v>FRMS-IN-75</v>
      </c>
      <c r="B82" s="183" t="s">
        <v>43</v>
      </c>
      <c r="C82" s="278" t="s">
        <v>776</v>
      </c>
      <c r="D82" s="185"/>
      <c r="E82" s="186"/>
      <c r="F82" s="187"/>
      <c r="G82" s="187" t="s">
        <v>101</v>
      </c>
      <c r="I82" s="131">
        <f t="shared" ref="I82:I92" si="12">IF(NOT(ISBLANK($B82)),VLOOKUP($B82,specdata,2,FALSE()),"")</f>
        <v>1</v>
      </c>
      <c r="J82" s="131">
        <f t="shared" ref="J82:J92" si="13">VLOOKUP(G82,AvailabilityData,2,FALSE())</f>
        <v>0</v>
      </c>
      <c r="K82" s="131">
        <f t="shared" ref="K82:K92" si="14">I82*J82</f>
        <v>0</v>
      </c>
      <c r="L82" s="115">
        <v>1</v>
      </c>
    </row>
    <row r="83" spans="1:12" ht="45" customHeight="1" x14ac:dyDescent="0.3">
      <c r="A83" s="259" t="str">
        <f>IF(L83=1,"FRMS-IN-"&amp;TEXT(COUNTIF($L$3:L83, "1"), "0"), "")</f>
        <v>FRMS-IN-76</v>
      </c>
      <c r="B83" s="133" t="s">
        <v>43</v>
      </c>
      <c r="C83" s="154" t="s">
        <v>196</v>
      </c>
      <c r="D83" s="138"/>
      <c r="E83" s="168"/>
      <c r="F83" s="137"/>
      <c r="G83" s="137" t="s">
        <v>101</v>
      </c>
      <c r="I83" s="131">
        <f t="shared" si="12"/>
        <v>1</v>
      </c>
      <c r="J83" s="131">
        <f t="shared" si="13"/>
        <v>0</v>
      </c>
      <c r="K83" s="131">
        <f t="shared" si="14"/>
        <v>0</v>
      </c>
      <c r="L83" s="115">
        <v>1</v>
      </c>
    </row>
    <row r="84" spans="1:12" ht="30" customHeight="1" x14ac:dyDescent="0.3">
      <c r="A84" s="259" t="str">
        <f>IF(L84=1,"FRMS-IN-"&amp;TEXT(COUNTIF($L$3:L84, "1"), "0"), "")</f>
        <v>FRMS-IN-77</v>
      </c>
      <c r="B84" s="133" t="s">
        <v>43</v>
      </c>
      <c r="C84" s="154" t="s">
        <v>777</v>
      </c>
      <c r="D84" s="138"/>
      <c r="E84" s="168"/>
      <c r="F84" s="137"/>
      <c r="G84" s="137" t="s">
        <v>101</v>
      </c>
      <c r="I84" s="131">
        <f t="shared" si="12"/>
        <v>1</v>
      </c>
      <c r="J84" s="131">
        <f t="shared" si="13"/>
        <v>0</v>
      </c>
      <c r="K84" s="131">
        <f t="shared" si="14"/>
        <v>0</v>
      </c>
      <c r="L84" s="115">
        <v>1</v>
      </c>
    </row>
    <row r="85" spans="1:12" ht="30" customHeight="1" x14ac:dyDescent="0.3">
      <c r="A85" s="259" t="str">
        <f>IF(L85=1,"FRMS-IN-"&amp;TEXT(COUNTIF($L$3:L85, "1"), "0"), "")</f>
        <v>FRMS-IN-78</v>
      </c>
      <c r="B85" s="133" t="s">
        <v>43</v>
      </c>
      <c r="C85" s="154" t="s">
        <v>778</v>
      </c>
      <c r="D85" s="138"/>
      <c r="E85" s="168"/>
      <c r="F85" s="137"/>
      <c r="G85" s="137" t="s">
        <v>101</v>
      </c>
      <c r="I85" s="131">
        <f t="shared" si="12"/>
        <v>1</v>
      </c>
      <c r="J85" s="131">
        <f t="shared" si="13"/>
        <v>0</v>
      </c>
      <c r="K85" s="131">
        <f t="shared" si="14"/>
        <v>0</v>
      </c>
      <c r="L85" s="115">
        <v>1</v>
      </c>
    </row>
    <row r="86" spans="1:12" ht="30" customHeight="1" x14ac:dyDescent="0.3">
      <c r="A86" s="259" t="str">
        <f>IF(L86=1,"FRMS-IN-"&amp;TEXT(COUNTIF($L$3:L86, "1"), "0"), "")</f>
        <v>FRMS-IN-79</v>
      </c>
      <c r="B86" s="133" t="s">
        <v>43</v>
      </c>
      <c r="C86" s="154" t="s">
        <v>779</v>
      </c>
      <c r="D86" s="138"/>
      <c r="E86" s="168"/>
      <c r="F86" s="137"/>
      <c r="G86" s="137" t="s">
        <v>101</v>
      </c>
      <c r="I86" s="131">
        <f t="shared" si="12"/>
        <v>1</v>
      </c>
      <c r="J86" s="131">
        <f t="shared" si="13"/>
        <v>0</v>
      </c>
      <c r="K86" s="131">
        <f t="shared" si="14"/>
        <v>0</v>
      </c>
      <c r="L86" s="115">
        <v>1</v>
      </c>
    </row>
    <row r="87" spans="1:12" ht="30" customHeight="1" x14ac:dyDescent="0.3">
      <c r="A87" s="259" t="str">
        <f>IF(L87=1,"FRMS-IN-"&amp;TEXT(COUNTIF($L$3:L87, "1"), "0"), "")</f>
        <v>FRMS-IN-80</v>
      </c>
      <c r="B87" s="133" t="s">
        <v>43</v>
      </c>
      <c r="C87" s="154" t="s">
        <v>780</v>
      </c>
      <c r="D87" s="138"/>
      <c r="E87" s="168"/>
      <c r="F87" s="137"/>
      <c r="G87" s="137" t="s">
        <v>101</v>
      </c>
      <c r="I87" s="131">
        <f t="shared" si="12"/>
        <v>1</v>
      </c>
      <c r="J87" s="131">
        <f t="shared" si="13"/>
        <v>0</v>
      </c>
      <c r="K87" s="131">
        <f t="shared" si="14"/>
        <v>0</v>
      </c>
      <c r="L87" s="115">
        <v>1</v>
      </c>
    </row>
    <row r="88" spans="1:12" ht="30" customHeight="1" x14ac:dyDescent="0.3">
      <c r="A88" s="259" t="str">
        <f>IF(L88=1,"FRMS-IN-"&amp;TEXT(COUNTIF($L$3:L88, "1"), "0"), "")</f>
        <v>FRMS-IN-81</v>
      </c>
      <c r="B88" s="133" t="s">
        <v>43</v>
      </c>
      <c r="C88" s="154" t="s">
        <v>781</v>
      </c>
      <c r="D88" s="138"/>
      <c r="E88" s="168"/>
      <c r="F88" s="137"/>
      <c r="G88" s="137" t="s">
        <v>101</v>
      </c>
      <c r="I88" s="131">
        <f t="shared" si="12"/>
        <v>1</v>
      </c>
      <c r="J88" s="131">
        <f t="shared" si="13"/>
        <v>0</v>
      </c>
      <c r="K88" s="131">
        <f t="shared" si="14"/>
        <v>0</v>
      </c>
      <c r="L88" s="115">
        <v>1</v>
      </c>
    </row>
    <row r="89" spans="1:12" ht="30" customHeight="1" x14ac:dyDescent="0.3">
      <c r="A89" s="259" t="str">
        <f>IF(L89=1,"FRMS-IN-"&amp;TEXT(COUNTIF($L$3:L89, "1"), "0"), "")</f>
        <v>FRMS-IN-82</v>
      </c>
      <c r="B89" s="133" t="s">
        <v>43</v>
      </c>
      <c r="C89" s="452" t="s">
        <v>782</v>
      </c>
      <c r="D89" s="326"/>
      <c r="E89" s="168"/>
      <c r="F89" s="137"/>
      <c r="G89" s="137" t="s">
        <v>101</v>
      </c>
      <c r="I89" s="131">
        <f t="shared" si="12"/>
        <v>1</v>
      </c>
      <c r="J89" s="131">
        <f t="shared" si="13"/>
        <v>0</v>
      </c>
      <c r="K89" s="131">
        <f t="shared" si="14"/>
        <v>0</v>
      </c>
      <c r="L89" s="115">
        <v>1</v>
      </c>
    </row>
    <row r="90" spans="1:12" ht="30" customHeight="1" x14ac:dyDescent="0.3">
      <c r="A90" s="259" t="str">
        <f>IF(L90=1,"FRMS-IN-"&amp;TEXT(COUNTIF($L$3:L90, "1"), "0"), "")</f>
        <v>FRMS-IN-83</v>
      </c>
      <c r="B90" s="133" t="s">
        <v>43</v>
      </c>
      <c r="C90" s="452" t="s">
        <v>783</v>
      </c>
      <c r="D90" s="326"/>
      <c r="E90" s="168"/>
      <c r="F90" s="137"/>
      <c r="G90" s="137" t="s">
        <v>101</v>
      </c>
      <c r="I90" s="131">
        <f t="shared" si="12"/>
        <v>1</v>
      </c>
      <c r="J90" s="131">
        <f t="shared" si="13"/>
        <v>0</v>
      </c>
      <c r="K90" s="131">
        <f t="shared" si="14"/>
        <v>0</v>
      </c>
      <c r="L90" s="115">
        <v>1</v>
      </c>
    </row>
    <row r="91" spans="1:12" ht="30" customHeight="1" x14ac:dyDescent="0.3">
      <c r="A91" s="259" t="str">
        <f>IF(L91=1,"FRMS-IN-"&amp;TEXT(COUNTIF($L$3:L91, "1"), "0"), "")</f>
        <v>FRMS-IN-84</v>
      </c>
      <c r="B91" s="133" t="s">
        <v>43</v>
      </c>
      <c r="C91" s="452" t="s">
        <v>784</v>
      </c>
      <c r="D91" s="326"/>
      <c r="E91" s="168"/>
      <c r="F91" s="137"/>
      <c r="G91" s="137" t="s">
        <v>101</v>
      </c>
      <c r="I91" s="131">
        <f t="shared" si="12"/>
        <v>1</v>
      </c>
      <c r="J91" s="131">
        <f t="shared" si="13"/>
        <v>0</v>
      </c>
      <c r="K91" s="131">
        <f t="shared" si="14"/>
        <v>0</v>
      </c>
      <c r="L91" s="115">
        <v>1</v>
      </c>
    </row>
    <row r="92" spans="1:12" ht="30" customHeight="1" x14ac:dyDescent="0.3">
      <c r="A92" s="259" t="str">
        <f>IF(L92=1,"FRMS-IN-"&amp;TEXT(COUNTIF($L$3:L92, "1"), "0"), "")</f>
        <v>FRMS-IN-85</v>
      </c>
      <c r="B92" s="169" t="s">
        <v>43</v>
      </c>
      <c r="C92" s="453" t="s">
        <v>785</v>
      </c>
      <c r="D92" s="327"/>
      <c r="E92" s="175"/>
      <c r="F92" s="176"/>
      <c r="G92" s="176" t="s">
        <v>101</v>
      </c>
      <c r="I92" s="131">
        <f t="shared" si="12"/>
        <v>1</v>
      </c>
      <c r="J92" s="131">
        <f t="shared" si="13"/>
        <v>0</v>
      </c>
      <c r="K92" s="131">
        <f t="shared" si="14"/>
        <v>0</v>
      </c>
      <c r="L92" s="115">
        <v>1</v>
      </c>
    </row>
    <row r="93" spans="1:12" x14ac:dyDescent="0.3">
      <c r="A93" s="448"/>
      <c r="B93" s="126"/>
      <c r="C93" s="454" t="s">
        <v>786</v>
      </c>
      <c r="D93" s="130"/>
      <c r="E93" s="180"/>
      <c r="F93" s="181"/>
      <c r="G93" s="182"/>
    </row>
    <row r="94" spans="1:12" ht="46.8" x14ac:dyDescent="0.3">
      <c r="A94" s="259" t="str">
        <f>IF(L94=1,"FRMS-IN-"&amp;TEXT(COUNTIF($L$3:L94, "1"), "0"), "")</f>
        <v>FRMS-IN-86</v>
      </c>
      <c r="B94" s="183" t="s">
        <v>43</v>
      </c>
      <c r="C94" s="455" t="s">
        <v>787</v>
      </c>
      <c r="D94" s="328"/>
      <c r="E94" s="186"/>
      <c r="F94" s="187"/>
      <c r="G94" s="187" t="s">
        <v>101</v>
      </c>
      <c r="I94" s="131">
        <f>IF(NOT(ISBLANK($B94)),VLOOKUP($B94,specdata,2,FALSE()),"")</f>
        <v>1</v>
      </c>
      <c r="J94" s="131">
        <f>VLOOKUP(G94,AvailabilityData,2,FALSE())</f>
        <v>0</v>
      </c>
      <c r="K94" s="131">
        <f>I94*J94</f>
        <v>0</v>
      </c>
      <c r="L94" s="115">
        <v>1</v>
      </c>
    </row>
    <row r="95" spans="1:12" ht="30" customHeight="1" x14ac:dyDescent="0.3">
      <c r="A95" s="259" t="str">
        <f>IF(L95=1,"FRMS-IN-"&amp;TEXT(COUNTIF($L$3:L95, "1"), "0"), "")</f>
        <v>FRMS-IN-87</v>
      </c>
      <c r="B95" s="133" t="s">
        <v>43</v>
      </c>
      <c r="C95" s="456" t="s">
        <v>788</v>
      </c>
      <c r="D95" s="326"/>
      <c r="E95" s="168"/>
      <c r="F95" s="137"/>
      <c r="G95" s="137" t="s">
        <v>101</v>
      </c>
      <c r="I95" s="131">
        <f>IF(NOT(ISBLANK($B95)),VLOOKUP($B95,specdata,2,FALSE()),"")</f>
        <v>1</v>
      </c>
      <c r="J95" s="131">
        <f>VLOOKUP(G95,AvailabilityData,2,FALSE())</f>
        <v>0</v>
      </c>
      <c r="K95" s="131">
        <f>I95*J95</f>
        <v>0</v>
      </c>
      <c r="L95" s="115">
        <v>1</v>
      </c>
    </row>
    <row r="96" spans="1:12" ht="30" customHeight="1" x14ac:dyDescent="0.3">
      <c r="A96" s="259" t="str">
        <f>IF(L96=1,"FRMS-IN-"&amp;TEXT(COUNTIF($L$3:L96, "1"), "0"), "")</f>
        <v>FRMS-IN-88</v>
      </c>
      <c r="B96" s="169" t="s">
        <v>43</v>
      </c>
      <c r="C96" s="457" t="s">
        <v>789</v>
      </c>
      <c r="D96" s="327"/>
      <c r="E96" s="175"/>
      <c r="F96" s="176"/>
      <c r="G96" s="176" t="s">
        <v>101</v>
      </c>
      <c r="I96" s="131">
        <f>IF(NOT(ISBLANK($B96)),VLOOKUP($B96,specdata,2,FALSE()),"")</f>
        <v>1</v>
      </c>
      <c r="J96" s="131">
        <f>VLOOKUP(G96,AvailabilityData,2,FALSE())</f>
        <v>0</v>
      </c>
      <c r="K96" s="131">
        <f>I96*J96</f>
        <v>0</v>
      </c>
      <c r="L96" s="115">
        <v>1</v>
      </c>
    </row>
    <row r="97" spans="1:12" ht="30" customHeight="1" x14ac:dyDescent="0.3">
      <c r="A97" s="448"/>
      <c r="B97" s="126"/>
      <c r="C97" s="458" t="s">
        <v>790</v>
      </c>
      <c r="D97" s="130"/>
      <c r="E97" s="180"/>
      <c r="F97" s="181"/>
      <c r="G97" s="182"/>
    </row>
    <row r="98" spans="1:12" ht="30" customHeight="1" x14ac:dyDescent="0.3">
      <c r="A98" s="259" t="str">
        <f>IF(L98=1,"FRMS-IN-"&amp;TEXT(COUNTIF($L$3:L98, "1"), "0"), "")</f>
        <v>FRMS-IN-89</v>
      </c>
      <c r="B98" s="183" t="s">
        <v>43</v>
      </c>
      <c r="C98" s="320" t="s">
        <v>791</v>
      </c>
      <c r="D98" s="328"/>
      <c r="E98" s="186"/>
      <c r="F98" s="187"/>
      <c r="G98" s="187" t="s">
        <v>101</v>
      </c>
      <c r="I98" s="131">
        <f t="shared" ref="I98:I107" si="15">IF(NOT(ISBLANK($B98)),VLOOKUP($B98,specdata,2,FALSE()),"")</f>
        <v>1</v>
      </c>
      <c r="J98" s="131">
        <f t="shared" ref="J98:J107" si="16">VLOOKUP(G98,AvailabilityData,2,FALSE())</f>
        <v>0</v>
      </c>
      <c r="K98" s="131">
        <f t="shared" ref="K98:K107" si="17">I98*J98</f>
        <v>0</v>
      </c>
      <c r="L98" s="115">
        <v>1</v>
      </c>
    </row>
    <row r="99" spans="1:12" ht="30" customHeight="1" x14ac:dyDescent="0.3">
      <c r="A99" s="259" t="str">
        <f>IF(L99=1,"FRMS-IN-"&amp;TEXT(COUNTIF($L$3:L99, "1"), "0"), "")</f>
        <v>FRMS-IN-90</v>
      </c>
      <c r="B99" s="133" t="s">
        <v>43</v>
      </c>
      <c r="C99" s="149" t="s">
        <v>792</v>
      </c>
      <c r="D99" s="326"/>
      <c r="E99" s="168"/>
      <c r="F99" s="137"/>
      <c r="G99" s="137" t="s">
        <v>101</v>
      </c>
      <c r="I99" s="131">
        <f t="shared" si="15"/>
        <v>1</v>
      </c>
      <c r="J99" s="131">
        <f t="shared" si="16"/>
        <v>0</v>
      </c>
      <c r="K99" s="131">
        <f t="shared" si="17"/>
        <v>0</v>
      </c>
      <c r="L99" s="115">
        <v>1</v>
      </c>
    </row>
    <row r="100" spans="1:12" ht="30" customHeight="1" x14ac:dyDescent="0.3">
      <c r="A100" s="259" t="str">
        <f>IF(L100=1,"FRMS-IN-"&amp;TEXT(COUNTIF($L$3:L100, "1"), "0"), "")</f>
        <v>FRMS-IN-91</v>
      </c>
      <c r="B100" s="133" t="s">
        <v>43</v>
      </c>
      <c r="C100" s="149" t="s">
        <v>793</v>
      </c>
      <c r="D100" s="326"/>
      <c r="E100" s="168"/>
      <c r="F100" s="137"/>
      <c r="G100" s="137" t="s">
        <v>101</v>
      </c>
      <c r="I100" s="131">
        <f t="shared" si="15"/>
        <v>1</v>
      </c>
      <c r="J100" s="131">
        <f t="shared" si="16"/>
        <v>0</v>
      </c>
      <c r="K100" s="131">
        <f t="shared" si="17"/>
        <v>0</v>
      </c>
      <c r="L100" s="115">
        <v>1</v>
      </c>
    </row>
    <row r="101" spans="1:12" ht="30" customHeight="1" x14ac:dyDescent="0.3">
      <c r="A101" s="259" t="str">
        <f>IF(L101=1,"FRMS-IN-"&amp;TEXT(COUNTIF($L$3:L101, "1"), "0"), "")</f>
        <v>FRMS-IN-92</v>
      </c>
      <c r="B101" s="133" t="s">
        <v>43</v>
      </c>
      <c r="C101" s="149" t="s">
        <v>779</v>
      </c>
      <c r="D101" s="326"/>
      <c r="E101" s="168"/>
      <c r="F101" s="137"/>
      <c r="G101" s="137" t="s">
        <v>101</v>
      </c>
      <c r="I101" s="131">
        <f t="shared" si="15"/>
        <v>1</v>
      </c>
      <c r="J101" s="131">
        <f t="shared" si="16"/>
        <v>0</v>
      </c>
      <c r="K101" s="131">
        <f t="shared" si="17"/>
        <v>0</v>
      </c>
      <c r="L101" s="115">
        <v>1</v>
      </c>
    </row>
    <row r="102" spans="1:12" ht="30" customHeight="1" x14ac:dyDescent="0.3">
      <c r="A102" s="259" t="str">
        <f>IF(L102=1,"FRMS-IN-"&amp;TEXT(COUNTIF($L$3:L102, "1"), "0"), "")</f>
        <v>FRMS-IN-93</v>
      </c>
      <c r="B102" s="133" t="s">
        <v>43</v>
      </c>
      <c r="C102" s="149" t="s">
        <v>780</v>
      </c>
      <c r="D102" s="326"/>
      <c r="E102" s="168"/>
      <c r="F102" s="137"/>
      <c r="G102" s="137" t="s">
        <v>101</v>
      </c>
      <c r="I102" s="131">
        <f t="shared" si="15"/>
        <v>1</v>
      </c>
      <c r="J102" s="131">
        <f t="shared" si="16"/>
        <v>0</v>
      </c>
      <c r="K102" s="131">
        <f t="shared" si="17"/>
        <v>0</v>
      </c>
      <c r="L102" s="115">
        <v>1</v>
      </c>
    </row>
    <row r="103" spans="1:12" ht="30" customHeight="1" x14ac:dyDescent="0.3">
      <c r="A103" s="259" t="str">
        <f>IF(L103=1,"FRMS-IN-"&amp;TEXT(COUNTIF($L$3:L103, "1"), "0"), "")</f>
        <v>FRMS-IN-94</v>
      </c>
      <c r="B103" s="133" t="s">
        <v>43</v>
      </c>
      <c r="C103" s="149" t="s">
        <v>781</v>
      </c>
      <c r="D103" s="326"/>
      <c r="E103" s="168"/>
      <c r="F103" s="137"/>
      <c r="G103" s="137" t="s">
        <v>101</v>
      </c>
      <c r="I103" s="131">
        <f t="shared" si="15"/>
        <v>1</v>
      </c>
      <c r="J103" s="131">
        <f t="shared" si="16"/>
        <v>0</v>
      </c>
      <c r="K103" s="131">
        <f t="shared" si="17"/>
        <v>0</v>
      </c>
      <c r="L103" s="115">
        <v>1</v>
      </c>
    </row>
    <row r="104" spans="1:12" ht="30" customHeight="1" x14ac:dyDescent="0.3">
      <c r="A104" s="259" t="str">
        <f>IF(L104=1,"FRMS-IN-"&amp;TEXT(COUNTIF($L$3:L104, "1"), "0"), "")</f>
        <v>FRMS-IN-95</v>
      </c>
      <c r="B104" s="133" t="s">
        <v>43</v>
      </c>
      <c r="C104" s="149" t="s">
        <v>782</v>
      </c>
      <c r="D104" s="326"/>
      <c r="E104" s="168"/>
      <c r="F104" s="137"/>
      <c r="G104" s="137" t="s">
        <v>101</v>
      </c>
      <c r="I104" s="131">
        <f t="shared" si="15"/>
        <v>1</v>
      </c>
      <c r="J104" s="131">
        <f t="shared" si="16"/>
        <v>0</v>
      </c>
      <c r="K104" s="131">
        <f t="shared" si="17"/>
        <v>0</v>
      </c>
      <c r="L104" s="115">
        <v>1</v>
      </c>
    </row>
    <row r="105" spans="1:12" ht="30" customHeight="1" x14ac:dyDescent="0.3">
      <c r="A105" s="259" t="str">
        <f>IF(L105=1,"FRMS-IN-"&amp;TEXT(COUNTIF($L$3:L105, "1"), "0"), "")</f>
        <v>FRMS-IN-96</v>
      </c>
      <c r="B105" s="133" t="s">
        <v>43</v>
      </c>
      <c r="C105" s="149" t="s">
        <v>783</v>
      </c>
      <c r="D105" s="326"/>
      <c r="E105" s="168"/>
      <c r="F105" s="137"/>
      <c r="G105" s="137" t="s">
        <v>101</v>
      </c>
      <c r="I105" s="131">
        <f t="shared" si="15"/>
        <v>1</v>
      </c>
      <c r="J105" s="131">
        <f t="shared" si="16"/>
        <v>0</v>
      </c>
      <c r="K105" s="131">
        <f t="shared" si="17"/>
        <v>0</v>
      </c>
      <c r="L105" s="115">
        <v>1</v>
      </c>
    </row>
    <row r="106" spans="1:12" ht="30" customHeight="1" x14ac:dyDescent="0.3">
      <c r="A106" s="259" t="str">
        <f>IF(L106=1,"FRMS-IN-"&amp;TEXT(COUNTIF($L$3:L106, "1"), "0"), "")</f>
        <v>FRMS-IN-97</v>
      </c>
      <c r="B106" s="133" t="s">
        <v>43</v>
      </c>
      <c r="C106" s="149" t="s">
        <v>784</v>
      </c>
      <c r="D106" s="326"/>
      <c r="E106" s="168"/>
      <c r="F106" s="137"/>
      <c r="G106" s="137" t="s">
        <v>101</v>
      </c>
      <c r="I106" s="131">
        <f t="shared" si="15"/>
        <v>1</v>
      </c>
      <c r="J106" s="131">
        <f t="shared" si="16"/>
        <v>0</v>
      </c>
      <c r="K106" s="131">
        <f t="shared" si="17"/>
        <v>0</v>
      </c>
      <c r="L106" s="115">
        <v>1</v>
      </c>
    </row>
    <row r="107" spans="1:12" ht="30" customHeight="1" x14ac:dyDescent="0.3">
      <c r="A107" s="259" t="str">
        <f>IF(L107=1,"FRMS-IN-"&amp;TEXT(COUNTIF($L$3:L107, "1"), "0"), "")</f>
        <v>FRMS-IN-98</v>
      </c>
      <c r="B107" s="169" t="s">
        <v>43</v>
      </c>
      <c r="C107" s="322" t="s">
        <v>785</v>
      </c>
      <c r="D107" s="327"/>
      <c r="E107" s="175"/>
      <c r="F107" s="176"/>
      <c r="G107" s="176" t="s">
        <v>101</v>
      </c>
      <c r="I107" s="131">
        <f t="shared" si="15"/>
        <v>1</v>
      </c>
      <c r="J107" s="131">
        <f t="shared" si="16"/>
        <v>0</v>
      </c>
      <c r="K107" s="131">
        <f t="shared" si="17"/>
        <v>0</v>
      </c>
      <c r="L107" s="115">
        <v>1</v>
      </c>
    </row>
    <row r="108" spans="1:12" x14ac:dyDescent="0.3">
      <c r="A108" s="448"/>
      <c r="B108" s="126"/>
      <c r="C108" s="454" t="s">
        <v>786</v>
      </c>
      <c r="D108" s="130"/>
      <c r="E108" s="180"/>
      <c r="F108" s="181"/>
      <c r="G108" s="182"/>
    </row>
    <row r="109" spans="1:12" ht="46.8" x14ac:dyDescent="0.3">
      <c r="A109" s="259" t="str">
        <f>IF(L109=1,"FRMS-IN-"&amp;TEXT(COUNTIF($L$3:L109, "1"), "0"), "")</f>
        <v>FRMS-IN-99</v>
      </c>
      <c r="B109" s="183" t="s">
        <v>43</v>
      </c>
      <c r="C109" s="269" t="s">
        <v>787</v>
      </c>
      <c r="D109" s="185"/>
      <c r="E109" s="186"/>
      <c r="F109" s="187"/>
      <c r="G109" s="187" t="s">
        <v>101</v>
      </c>
      <c r="I109" s="131">
        <f>IF(NOT(ISBLANK($B109)),VLOOKUP($B109,specdata,2,FALSE()),"")</f>
        <v>1</v>
      </c>
      <c r="J109" s="131">
        <f>VLOOKUP(G109,AvailabilityData,2,FALSE())</f>
        <v>0</v>
      </c>
      <c r="K109" s="131">
        <f>I109*J109</f>
        <v>0</v>
      </c>
      <c r="L109" s="115">
        <v>1</v>
      </c>
    </row>
    <row r="110" spans="1:12" ht="30" customHeight="1" x14ac:dyDescent="0.3">
      <c r="A110" s="259" t="str">
        <f>IF(L110=1,"FRMS-IN-"&amp;TEXT(COUNTIF($L$3:L110, "1"), "0"), "")</f>
        <v>FRMS-IN-100</v>
      </c>
      <c r="B110" s="133" t="s">
        <v>43</v>
      </c>
      <c r="C110" s="134" t="s">
        <v>788</v>
      </c>
      <c r="D110" s="138"/>
      <c r="E110" s="168"/>
      <c r="F110" s="137"/>
      <c r="G110" s="137" t="s">
        <v>101</v>
      </c>
      <c r="I110" s="131">
        <f>IF(NOT(ISBLANK($B110)),VLOOKUP($B110,specdata,2,FALSE()),"")</f>
        <v>1</v>
      </c>
      <c r="J110" s="131">
        <f>VLOOKUP(G110,AvailabilityData,2,FALSE())</f>
        <v>0</v>
      </c>
      <c r="K110" s="131">
        <f>I110*J110</f>
        <v>0</v>
      </c>
      <c r="L110" s="115">
        <v>1</v>
      </c>
    </row>
    <row r="111" spans="1:12" ht="30" customHeight="1" x14ac:dyDescent="0.3">
      <c r="A111" s="259" t="str">
        <f>IF(L111=1,"FRMS-IN-"&amp;TEXT(COUNTIF($L$3:L111, "1"), "0"), "")</f>
        <v>FRMS-IN-101</v>
      </c>
      <c r="B111" s="169" t="s">
        <v>43</v>
      </c>
      <c r="C111" s="271" t="s">
        <v>789</v>
      </c>
      <c r="D111" s="323"/>
      <c r="E111" s="175"/>
      <c r="F111" s="176"/>
      <c r="G111" s="176" t="s">
        <v>101</v>
      </c>
      <c r="I111" s="131">
        <f>IF(NOT(ISBLANK($B111)),VLOOKUP($B111,specdata,2,FALSE()),"")</f>
        <v>1</v>
      </c>
      <c r="J111" s="131">
        <f>VLOOKUP(G111,AvailabilityData,2,FALSE())</f>
        <v>0</v>
      </c>
      <c r="K111" s="131">
        <f>I111*J111</f>
        <v>0</v>
      </c>
      <c r="L111" s="115">
        <v>1</v>
      </c>
    </row>
    <row r="112" spans="1:12" ht="30" customHeight="1" x14ac:dyDescent="0.3">
      <c r="A112" s="448"/>
      <c r="B112" s="126"/>
      <c r="C112" s="458" t="s">
        <v>790</v>
      </c>
      <c r="D112" s="130"/>
      <c r="E112" s="180"/>
      <c r="F112" s="181"/>
      <c r="G112" s="182"/>
    </row>
    <row r="113" spans="1:12" ht="30" customHeight="1" x14ac:dyDescent="0.3">
      <c r="A113" s="259" t="str">
        <f>IF(L113=1,"FRMS-IN-"&amp;TEXT(COUNTIF($L$3:L113, "1"), "0"), "")</f>
        <v>FRMS-IN-102</v>
      </c>
      <c r="B113" s="183" t="s">
        <v>43</v>
      </c>
      <c r="C113" s="320" t="s">
        <v>791</v>
      </c>
      <c r="D113" s="270"/>
      <c r="E113" s="186"/>
      <c r="F113" s="187"/>
      <c r="G113" s="187" t="s">
        <v>101</v>
      </c>
      <c r="I113" s="131">
        <f>IF(NOT(ISBLANK($B113)),VLOOKUP($B113,specdata,2,FALSE()),"")</f>
        <v>1</v>
      </c>
      <c r="J113" s="131">
        <f>VLOOKUP(G113,AvailabilityData,2,FALSE())</f>
        <v>0</v>
      </c>
      <c r="K113" s="131">
        <f>I113*J113</f>
        <v>0</v>
      </c>
      <c r="L113" s="115">
        <v>1</v>
      </c>
    </row>
    <row r="114" spans="1:12" ht="30" customHeight="1" x14ac:dyDescent="0.3">
      <c r="A114" s="259" t="str">
        <f>IF(L114=1,"FRMS-IN-"&amp;TEXT(COUNTIF($L$3:L114, "1"), "0"), "")</f>
        <v>FRMS-IN-103</v>
      </c>
      <c r="B114" s="133" t="s">
        <v>43</v>
      </c>
      <c r="C114" s="149" t="s">
        <v>792</v>
      </c>
      <c r="D114" s="153"/>
      <c r="E114" s="168"/>
      <c r="F114" s="137"/>
      <c r="G114" s="137" t="s">
        <v>101</v>
      </c>
      <c r="I114" s="131">
        <f>IF(NOT(ISBLANK($B114)),VLOOKUP($B114,specdata,2,FALSE()),"")</f>
        <v>1</v>
      </c>
      <c r="J114" s="131">
        <f>VLOOKUP(G114,AvailabilityData,2,FALSE())</f>
        <v>0</v>
      </c>
      <c r="K114" s="131">
        <f>I114*J114</f>
        <v>0</v>
      </c>
      <c r="L114" s="115">
        <v>1</v>
      </c>
    </row>
    <row r="115" spans="1:12" ht="30" customHeight="1" x14ac:dyDescent="0.3">
      <c r="A115" s="259" t="str">
        <f>IF(L115=1,"FRMS-IN-"&amp;TEXT(COUNTIF($L$3:L115, "1"), "0"), "")</f>
        <v>FRMS-IN-104</v>
      </c>
      <c r="B115" s="169" t="s">
        <v>43</v>
      </c>
      <c r="C115" s="322" t="s">
        <v>793</v>
      </c>
      <c r="D115" s="174"/>
      <c r="E115" s="175"/>
      <c r="F115" s="176"/>
      <c r="G115" s="176" t="s">
        <v>101</v>
      </c>
      <c r="I115" s="131">
        <f>IF(NOT(ISBLANK($B115)),VLOOKUP($B115,specdata,2,FALSE()),"")</f>
        <v>1</v>
      </c>
      <c r="J115" s="131">
        <f>VLOOKUP(G115,AvailabilityData,2,FALSE())</f>
        <v>0</v>
      </c>
      <c r="K115" s="131">
        <f>I115*J115</f>
        <v>0</v>
      </c>
      <c r="L115" s="115">
        <v>1</v>
      </c>
    </row>
    <row r="116" spans="1:12" x14ac:dyDescent="0.3">
      <c r="A116" s="448"/>
      <c r="B116" s="126"/>
      <c r="C116" s="243" t="s">
        <v>168</v>
      </c>
      <c r="D116" s="179"/>
      <c r="E116" s="180"/>
      <c r="F116" s="181"/>
      <c r="G116" s="182"/>
    </row>
    <row r="117" spans="1:12" ht="30" customHeight="1" x14ac:dyDescent="0.3">
      <c r="A117" s="259" t="str">
        <f>IF(L117=1,"FRMS-IN-"&amp;TEXT(COUNTIF($L$3:L117, "1"), "0"), "")</f>
        <v>FRMS-IN-105</v>
      </c>
      <c r="B117" s="183" t="s">
        <v>43</v>
      </c>
      <c r="C117" s="269" t="s">
        <v>185</v>
      </c>
      <c r="D117" s="270"/>
      <c r="E117" s="186"/>
      <c r="F117" s="187"/>
      <c r="G117" s="187" t="s">
        <v>101</v>
      </c>
      <c r="I117" s="131">
        <f t="shared" ref="I117:I123" si="18">IF(NOT(ISBLANK($B117)),VLOOKUP($B117,specdata,2,FALSE()),"")</f>
        <v>1</v>
      </c>
      <c r="J117" s="131">
        <f t="shared" ref="J117:J123" si="19">VLOOKUP(G117,AvailabilityData,2,FALSE())</f>
        <v>0</v>
      </c>
      <c r="K117" s="131">
        <f t="shared" ref="K117:K123" si="20">I117*J117</f>
        <v>0</v>
      </c>
      <c r="L117" s="115">
        <v>1</v>
      </c>
    </row>
    <row r="118" spans="1:12" ht="30" customHeight="1" x14ac:dyDescent="0.3">
      <c r="A118" s="259" t="str">
        <f>IF(L118=1,"FRMS-IN-"&amp;TEXT(COUNTIF($L$3:L118, "1"), "0"), "")</f>
        <v>FRMS-IN-106</v>
      </c>
      <c r="B118" s="133" t="s">
        <v>43</v>
      </c>
      <c r="C118" s="154" t="s">
        <v>170</v>
      </c>
      <c r="D118" s="153"/>
      <c r="E118" s="168"/>
      <c r="F118" s="137"/>
      <c r="G118" s="137" t="s">
        <v>101</v>
      </c>
      <c r="I118" s="131">
        <f t="shared" si="18"/>
        <v>1</v>
      </c>
      <c r="J118" s="131">
        <f t="shared" si="19"/>
        <v>0</v>
      </c>
      <c r="K118" s="131">
        <f t="shared" si="20"/>
        <v>0</v>
      </c>
      <c r="L118" s="115">
        <v>1</v>
      </c>
    </row>
    <row r="119" spans="1:12" ht="30" customHeight="1" x14ac:dyDescent="0.3">
      <c r="A119" s="259" t="str">
        <f>IF(L119=1,"FRMS-IN-"&amp;TEXT(COUNTIF($L$3:L119, "1"), "0"), "")</f>
        <v>FRMS-IN-107</v>
      </c>
      <c r="B119" s="133" t="s">
        <v>43</v>
      </c>
      <c r="C119" s="154" t="s">
        <v>171</v>
      </c>
      <c r="D119" s="153"/>
      <c r="E119" s="168"/>
      <c r="F119" s="137"/>
      <c r="G119" s="137" t="s">
        <v>101</v>
      </c>
      <c r="I119" s="131">
        <f t="shared" si="18"/>
        <v>1</v>
      </c>
      <c r="J119" s="131">
        <f t="shared" si="19"/>
        <v>0</v>
      </c>
      <c r="K119" s="131">
        <f t="shared" si="20"/>
        <v>0</v>
      </c>
      <c r="L119" s="115">
        <v>1</v>
      </c>
    </row>
    <row r="120" spans="1:12" ht="30" customHeight="1" x14ac:dyDescent="0.3">
      <c r="A120" s="259" t="str">
        <f>IF(L120=1,"FRMS-IN-"&amp;TEXT(COUNTIF($L$3:L120, "1"), "0"), "")</f>
        <v>FRMS-IN-108</v>
      </c>
      <c r="B120" s="133" t="s">
        <v>43</v>
      </c>
      <c r="C120" s="154" t="s">
        <v>172</v>
      </c>
      <c r="D120" s="153"/>
      <c r="E120" s="168"/>
      <c r="F120" s="137"/>
      <c r="G120" s="137" t="s">
        <v>101</v>
      </c>
      <c r="I120" s="131">
        <f t="shared" si="18"/>
        <v>1</v>
      </c>
      <c r="J120" s="131">
        <f t="shared" si="19"/>
        <v>0</v>
      </c>
      <c r="K120" s="131">
        <f t="shared" si="20"/>
        <v>0</v>
      </c>
      <c r="L120" s="115">
        <v>1</v>
      </c>
    </row>
    <row r="121" spans="1:12" ht="30" customHeight="1" x14ac:dyDescent="0.3">
      <c r="A121" s="259" t="str">
        <f>IF(L121=1,"FRMS-IN-"&amp;TEXT(COUNTIF($L$3:L121, "1"), "0"), "")</f>
        <v>FRMS-IN-109</v>
      </c>
      <c r="B121" s="133" t="s">
        <v>43</v>
      </c>
      <c r="C121" s="164" t="s">
        <v>255</v>
      </c>
      <c r="D121" s="138"/>
      <c r="E121" s="168"/>
      <c r="F121" s="137"/>
      <c r="G121" s="137" t="s">
        <v>101</v>
      </c>
      <c r="I121" s="131">
        <f t="shared" si="18"/>
        <v>1</v>
      </c>
      <c r="J121" s="131">
        <f t="shared" si="19"/>
        <v>0</v>
      </c>
      <c r="K121" s="131">
        <f t="shared" si="20"/>
        <v>0</v>
      </c>
      <c r="L121" s="115">
        <v>1</v>
      </c>
    </row>
    <row r="122" spans="1:12" ht="46.8" x14ac:dyDescent="0.3">
      <c r="A122" s="259" t="str">
        <f>IF(L122=1,"FRMS-IN-"&amp;TEXT(COUNTIF($L$3:L122, "1"), "0"), "")</f>
        <v>FRMS-IN-110</v>
      </c>
      <c r="B122" s="133" t="s">
        <v>43</v>
      </c>
      <c r="C122" s="134" t="s">
        <v>414</v>
      </c>
      <c r="D122" s="138"/>
      <c r="E122" s="168"/>
      <c r="F122" s="137"/>
      <c r="G122" s="137" t="s">
        <v>101</v>
      </c>
      <c r="I122" s="131">
        <f t="shared" si="18"/>
        <v>1</v>
      </c>
      <c r="J122" s="131">
        <f t="shared" si="19"/>
        <v>0</v>
      </c>
      <c r="K122" s="131">
        <f t="shared" si="20"/>
        <v>0</v>
      </c>
      <c r="L122" s="115">
        <v>1</v>
      </c>
    </row>
    <row r="123" spans="1:12" ht="30" customHeight="1" x14ac:dyDescent="0.3">
      <c r="A123" s="259" t="str">
        <f>IF(L123=1,"FRMS-IN-"&amp;TEXT(COUNTIF($L$3:L123, "1"), "0"), "")</f>
        <v>FRMS-IN-111</v>
      </c>
      <c r="B123" s="169" t="s">
        <v>43</v>
      </c>
      <c r="C123" s="271" t="s">
        <v>207</v>
      </c>
      <c r="D123" s="323"/>
      <c r="E123" s="175"/>
      <c r="F123" s="176"/>
      <c r="G123" s="176" t="s">
        <v>101</v>
      </c>
      <c r="I123" s="131">
        <f t="shared" si="18"/>
        <v>1</v>
      </c>
      <c r="J123" s="131">
        <f t="shared" si="19"/>
        <v>0</v>
      </c>
      <c r="K123" s="131">
        <f t="shared" si="20"/>
        <v>0</v>
      </c>
      <c r="L123" s="115">
        <v>1</v>
      </c>
    </row>
    <row r="124" spans="1:12" x14ac:dyDescent="0.3">
      <c r="A124" s="448"/>
      <c r="B124" s="126"/>
      <c r="C124" s="243" t="s">
        <v>165</v>
      </c>
      <c r="D124" s="194"/>
      <c r="E124" s="180"/>
      <c r="F124" s="181"/>
      <c r="G124" s="182"/>
    </row>
    <row r="125" spans="1:12" ht="30" customHeight="1" x14ac:dyDescent="0.3">
      <c r="A125" s="259" t="str">
        <f>IF(L125=1,"FRMS-IN-"&amp;TEXT(COUNTIF($L$3:L125, "1"), "0"), "")</f>
        <v>FRMS-IN-112</v>
      </c>
      <c r="B125" s="183" t="s">
        <v>43</v>
      </c>
      <c r="C125" s="269" t="s">
        <v>208</v>
      </c>
      <c r="D125" s="270"/>
      <c r="E125" s="186"/>
      <c r="F125" s="187"/>
      <c r="G125" s="187" t="s">
        <v>101</v>
      </c>
      <c r="I125" s="131">
        <f>IF(NOT(ISBLANK($B125)),VLOOKUP($B125,specdata,2,FALSE()),"")</f>
        <v>1</v>
      </c>
      <c r="J125" s="131">
        <f>VLOOKUP(G125,AvailabilityData,2,FALSE())</f>
        <v>0</v>
      </c>
      <c r="K125" s="131">
        <f>I125*J125</f>
        <v>0</v>
      </c>
      <c r="L125" s="115">
        <v>1</v>
      </c>
    </row>
    <row r="126" spans="1:12" ht="30" customHeight="1" x14ac:dyDescent="0.3">
      <c r="A126" s="259" t="str">
        <f>IF(L126=1,"FRMS-IN-"&amp;TEXT(COUNTIF($L$3:L126, "1"), "0"), "")</f>
        <v>FRMS-IN-113</v>
      </c>
      <c r="B126" s="133" t="s">
        <v>43</v>
      </c>
      <c r="C126" s="134" t="s">
        <v>209</v>
      </c>
      <c r="D126" s="153"/>
      <c r="E126" s="168"/>
      <c r="F126" s="137"/>
      <c r="G126" s="137" t="s">
        <v>101</v>
      </c>
      <c r="I126" s="131">
        <f>IF(NOT(ISBLANK($B126)),VLOOKUP($B126,specdata,2,FALSE()),"")</f>
        <v>1</v>
      </c>
      <c r="J126" s="131">
        <f>VLOOKUP(G126,AvailabilityData,2,FALSE())</f>
        <v>0</v>
      </c>
      <c r="K126" s="131">
        <f>I126*J126</f>
        <v>0</v>
      </c>
      <c r="L126" s="115">
        <v>1</v>
      </c>
    </row>
    <row r="127" spans="1:12" ht="30" customHeight="1" x14ac:dyDescent="0.3">
      <c r="A127" s="259" t="str">
        <f>IF(L127=1,"FRMS-IN-"&amp;TEXT(COUNTIF($L$3:L127, "1"), "0"), "")</f>
        <v>FRMS-IN-114</v>
      </c>
      <c r="B127" s="133" t="s">
        <v>43</v>
      </c>
      <c r="C127" s="134" t="s">
        <v>210</v>
      </c>
      <c r="D127" s="153"/>
      <c r="E127" s="168"/>
      <c r="F127" s="137"/>
      <c r="G127" s="137" t="s">
        <v>101</v>
      </c>
      <c r="I127" s="131">
        <f>IF(NOT(ISBLANK($B127)),VLOOKUP($B127,specdata,2,FALSE()),"")</f>
        <v>1</v>
      </c>
      <c r="J127" s="131">
        <f>VLOOKUP(G127,AvailabilityData,2,FALSE())</f>
        <v>0</v>
      </c>
      <c r="K127" s="131">
        <f>I127*J127</f>
        <v>0</v>
      </c>
      <c r="L127" s="115">
        <v>1</v>
      </c>
    </row>
    <row r="128" spans="1:12" ht="30" customHeight="1" x14ac:dyDescent="0.3">
      <c r="A128" s="259" t="str">
        <f>IF(L128=1,"FRMS-IN-"&amp;TEXT(COUNTIF($L$3:L128, "1"), "0"), "")</f>
        <v>FRMS-IN-115</v>
      </c>
      <c r="B128" s="169" t="s">
        <v>43</v>
      </c>
      <c r="C128" s="271" t="s">
        <v>211</v>
      </c>
      <c r="D128" s="174"/>
      <c r="E128" s="175"/>
      <c r="F128" s="176"/>
      <c r="G128" s="176" t="s">
        <v>101</v>
      </c>
      <c r="I128" s="131">
        <f>IF(NOT(ISBLANK($B128)),VLOOKUP($B128,specdata,2,FALSE()),"")</f>
        <v>1</v>
      </c>
      <c r="J128" s="131">
        <f>VLOOKUP(G128,AvailabilityData,2,FALSE())</f>
        <v>0</v>
      </c>
      <c r="K128" s="131">
        <f>I128*J128</f>
        <v>0</v>
      </c>
      <c r="L128" s="115">
        <v>1</v>
      </c>
    </row>
    <row r="129" spans="1:12" x14ac:dyDescent="0.3">
      <c r="A129" s="448"/>
      <c r="B129" s="126"/>
      <c r="C129" s="243" t="s">
        <v>174</v>
      </c>
      <c r="D129" s="179"/>
      <c r="E129" s="180"/>
      <c r="F129" s="181"/>
      <c r="G129" s="182"/>
    </row>
    <row r="130" spans="1:12" ht="30" customHeight="1" x14ac:dyDescent="0.3">
      <c r="A130" s="259" t="str">
        <f>IF(L130=1,"FRMS-IN-"&amp;TEXT(COUNTIF($L$3:L130, "1"), "0"), "")</f>
        <v>FRMS-IN-116</v>
      </c>
      <c r="B130" s="183" t="s">
        <v>43</v>
      </c>
      <c r="C130" s="269" t="s">
        <v>794</v>
      </c>
      <c r="D130" s="270"/>
      <c r="E130" s="186"/>
      <c r="F130" s="187"/>
      <c r="G130" s="187" t="s">
        <v>101</v>
      </c>
      <c r="I130" s="131">
        <f>IF(NOT(ISBLANK($B130)),VLOOKUP($B130,specdata,2,FALSE()),"")</f>
        <v>1</v>
      </c>
      <c r="J130" s="131">
        <f>VLOOKUP(G130,AvailabilityData,2,FALSE())</f>
        <v>0</v>
      </c>
      <c r="K130" s="131">
        <f>I130*J130</f>
        <v>0</v>
      </c>
      <c r="L130" s="115">
        <v>1</v>
      </c>
    </row>
    <row r="131" spans="1:12" ht="46.8" x14ac:dyDescent="0.3">
      <c r="A131" s="259" t="str">
        <f>IF(L131=1,"FRMS-IN-"&amp;TEXT(COUNTIF($L$3:L131, "1"), "0"), "")</f>
        <v>FRMS-IN-117</v>
      </c>
      <c r="B131" s="133" t="s">
        <v>43</v>
      </c>
      <c r="C131" s="134" t="s">
        <v>193</v>
      </c>
      <c r="D131" s="153"/>
      <c r="E131" s="168"/>
      <c r="F131" s="137"/>
      <c r="G131" s="137" t="s">
        <v>101</v>
      </c>
      <c r="I131" s="131">
        <f>IF(NOT(ISBLANK($B131)),VLOOKUP($B131,specdata,2,FALSE()),"")</f>
        <v>1</v>
      </c>
      <c r="J131" s="131">
        <f>VLOOKUP(G131,AvailabilityData,2,FALSE())</f>
        <v>0</v>
      </c>
      <c r="K131" s="131">
        <f>I131*J131</f>
        <v>0</v>
      </c>
      <c r="L131" s="115">
        <v>1</v>
      </c>
    </row>
    <row r="132" spans="1:12" ht="46.8" x14ac:dyDescent="0.3">
      <c r="A132" s="259" t="str">
        <f>IF(L132=1,"FRMS-IN-"&amp;TEXT(COUNTIF($L$3:L132, "1"), "0"), "")</f>
        <v>FRMS-IN-118</v>
      </c>
      <c r="B132" s="133" t="s">
        <v>43</v>
      </c>
      <c r="C132" s="134" t="s">
        <v>795</v>
      </c>
      <c r="D132" s="153"/>
      <c r="E132" s="168"/>
      <c r="F132" s="137"/>
      <c r="G132" s="137" t="s">
        <v>101</v>
      </c>
      <c r="I132" s="131">
        <f>IF(NOT(ISBLANK($B132)),VLOOKUP($B132,specdata,2,FALSE()),"")</f>
        <v>1</v>
      </c>
      <c r="J132" s="131">
        <f>VLOOKUP(G132,AvailabilityData,2,FALSE())</f>
        <v>0</v>
      </c>
      <c r="K132" s="131">
        <f>I132*J132</f>
        <v>0</v>
      </c>
      <c r="L132" s="115">
        <v>1</v>
      </c>
    </row>
    <row r="133" spans="1:12" ht="30" customHeight="1" x14ac:dyDescent="0.3"/>
    <row r="134" spans="1:12" ht="30" customHeight="1" x14ac:dyDescent="0.3"/>
    <row r="135" spans="1:12" ht="30" customHeight="1" x14ac:dyDescent="0.3"/>
    <row r="136" spans="1:12" ht="30" customHeight="1" x14ac:dyDescent="0.3"/>
    <row r="137" spans="1:12" ht="30" customHeight="1" x14ac:dyDescent="0.3"/>
    <row r="138" spans="1:12" ht="30" customHeight="1" x14ac:dyDescent="0.3"/>
    <row r="139" spans="1:12" ht="30" customHeight="1" x14ac:dyDescent="0.3"/>
    <row r="140" spans="1:12" ht="30" customHeight="1" x14ac:dyDescent="0.3"/>
    <row r="141" spans="1:12" ht="30" customHeight="1" x14ac:dyDescent="0.3"/>
    <row r="142" spans="1:12" ht="30" customHeight="1" x14ac:dyDescent="0.3"/>
    <row r="143" spans="1:12" ht="30" customHeight="1" x14ac:dyDescent="0.3"/>
    <row r="144" spans="1:12"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30"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45"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30" customHeight="1" x14ac:dyDescent="0.3"/>
    <row r="191" ht="30" customHeight="1" x14ac:dyDescent="0.3"/>
    <row r="192"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59.25" customHeight="1" x14ac:dyDescent="0.3"/>
  </sheetData>
  <mergeCells count="1">
    <mergeCell ref="N3:P6"/>
  </mergeCells>
  <conditionalFormatting sqref="B1:B1048576">
    <cfRule type="cellIs" dxfId="187" priority="2" operator="equal">
      <formula>"Informational"</formula>
    </cfRule>
    <cfRule type="cellIs" dxfId="186" priority="3" operator="equal">
      <formula>"Not Needed"</formula>
    </cfRule>
    <cfRule type="cellIs" dxfId="185" priority="4" operator="equal">
      <formula>"Critical"</formula>
    </cfRule>
    <cfRule type="cellIs" dxfId="184" priority="5" operator="equal">
      <formula>"Extremely Advantageous"</formula>
    </cfRule>
  </conditionalFormatting>
  <conditionalFormatting sqref="C19:D19">
    <cfRule type="cellIs" dxfId="183" priority="7" operator="equal">
      <formula>"Extremely Advantageous"</formula>
    </cfRule>
    <cfRule type="cellIs" dxfId="182" priority="8" operator="equal">
      <formula>"Highly Advantageous"</formula>
    </cfRule>
  </conditionalFormatting>
  <conditionalFormatting sqref="G1:G1048576">
    <cfRule type="cellIs" dxfId="181" priority="6" operator="equal">
      <formula>"Exception"</formula>
    </cfRule>
  </conditionalFormatting>
  <conditionalFormatting sqref="G3:G132">
    <cfRule type="cellIs" dxfId="180" priority="9"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88" xr:uid="{00000000-0002-0000-1C00-000000000000}">
      <formula1>SpecType</formula1>
      <formula2>0</formula2>
    </dataValidation>
    <dataValidation type="list" allowBlank="1" showInputMessage="1" showErrorMessage="1" sqref="G3:G132" xr:uid="{00000000-0002-0000-1C00-000001000000}">
      <formula1>Availability</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June 2024 ©&amp;R&amp;"Arial,Bold"&amp;10&amp;P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D8E5B1"/>
    <pageSetUpPr fitToPage="1"/>
  </sheetPr>
  <dimension ref="A1:P62"/>
  <sheetViews>
    <sheetView topLeftCell="B1" zoomScaleNormal="100" zoomScalePageLayoutView="70" workbookViewId="0">
      <selection activeCell="G1" sqref="G1"/>
    </sheetView>
  </sheetViews>
  <sheetFormatPr defaultColWidth="9" defaultRowHeight="15.6" x14ac:dyDescent="0.3"/>
  <cols>
    <col min="1" max="1" width="12.59765625" style="113" customWidth="1"/>
    <col min="2" max="2" width="14.59765625" style="113" customWidth="1"/>
    <col min="3" max="3" width="65.59765625" style="261" customWidth="1"/>
    <col min="4" max="4" width="65.59765625" style="115" customWidth="1"/>
    <col min="5" max="6" width="8.8984375" style="115" hidden="1" customWidth="1"/>
    <col min="7" max="7" width="30.59765625" style="115" customWidth="1"/>
    <col min="8" max="11" width="8.8984375" style="116" customWidth="1"/>
    <col min="12" max="16384" width="9" style="115"/>
  </cols>
  <sheetData>
    <row r="1" spans="1:16" s="124" customFormat="1" ht="105" customHeight="1" x14ac:dyDescent="0.25">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c r="L1" s="123" t="s">
        <v>104</v>
      </c>
    </row>
    <row r="2" spans="1:16" s="118" customFormat="1" x14ac:dyDescent="0.3">
      <c r="A2" s="125" t="s">
        <v>796</v>
      </c>
      <c r="B2" s="445"/>
      <c r="C2" s="459"/>
      <c r="D2" s="447"/>
      <c r="E2" s="447"/>
      <c r="F2" s="447"/>
      <c r="G2" s="447"/>
      <c r="H2" s="116">
        <f>COUNTA(B3:B26)</f>
        <v>21</v>
      </c>
      <c r="I2" s="460"/>
      <c r="J2" s="460"/>
      <c r="K2" s="116">
        <f>SUM(K3:K26)</f>
        <v>0</v>
      </c>
    </row>
    <row r="3" spans="1:16" ht="29.4" customHeight="1" x14ac:dyDescent="0.3">
      <c r="A3" s="259" t="str">
        <f>IF(L3=1,"LiNX-"&amp;TEXT(COUNTIF($L$3:L3, "1"), "0"), "")</f>
        <v>LiNX-1</v>
      </c>
      <c r="B3" s="183" t="s">
        <v>43</v>
      </c>
      <c r="C3" s="164" t="s">
        <v>797</v>
      </c>
      <c r="D3" s="461"/>
      <c r="E3" s="186"/>
      <c r="F3" s="166"/>
      <c r="G3" s="137" t="s">
        <v>101</v>
      </c>
      <c r="H3" s="131">
        <f>COUNTIF(G:G,"=Select from Drop Down List")</f>
        <v>21</v>
      </c>
      <c r="I3" s="116">
        <f>IF(NOT(ISBLANK($B3)),VLOOKUP($B3,specdata,2,FALSE()),"")</f>
        <v>1</v>
      </c>
      <c r="J3" s="116">
        <f>VLOOKUP(G3,AvailabilityData,2,FALSE())</f>
        <v>0</v>
      </c>
      <c r="K3" s="116">
        <f>I3*J3</f>
        <v>0</v>
      </c>
      <c r="L3" s="115">
        <v>1</v>
      </c>
      <c r="N3" s="858" t="s">
        <v>107</v>
      </c>
      <c r="O3" s="858"/>
      <c r="P3" s="858"/>
    </row>
    <row r="4" spans="1:16" ht="30" customHeight="1" x14ac:dyDescent="0.3">
      <c r="A4" s="259" t="str">
        <f>IF(L4=1,"LiNX-"&amp;TEXT(COUNTIF($L$3:L4, "1"), "0"), "")</f>
        <v>LiNX-2</v>
      </c>
      <c r="B4" s="260" t="s">
        <v>43</v>
      </c>
      <c r="C4" s="170" t="s">
        <v>798</v>
      </c>
      <c r="D4" s="192"/>
      <c r="E4" s="172"/>
      <c r="F4" s="173"/>
      <c r="G4" s="176" t="s">
        <v>101</v>
      </c>
      <c r="H4" s="131">
        <f>COUNTIF(G:G,"=Function Available")</f>
        <v>0</v>
      </c>
      <c r="I4" s="116">
        <f>IF(NOT(ISBLANK($B4)),VLOOKUP($B4,specdata,2,FALSE()),"")</f>
        <v>1</v>
      </c>
      <c r="J4" s="116">
        <f>VLOOKUP(G4,AvailabilityData,2,FALSE())</f>
        <v>0</v>
      </c>
      <c r="K4" s="116">
        <f>I4*J4</f>
        <v>0</v>
      </c>
      <c r="L4" s="115">
        <v>1</v>
      </c>
      <c r="N4" s="858"/>
      <c r="O4" s="858"/>
      <c r="P4" s="858"/>
    </row>
    <row r="5" spans="1:16" x14ac:dyDescent="0.3">
      <c r="A5" s="316"/>
      <c r="B5" s="126"/>
      <c r="C5" s="178" t="s">
        <v>799</v>
      </c>
      <c r="D5" s="194"/>
      <c r="E5" s="180"/>
      <c r="F5" s="181"/>
      <c r="G5" s="182"/>
      <c r="H5" s="131">
        <f>COUNTIF(F:G,"=Function Not Available")</f>
        <v>0</v>
      </c>
      <c r="N5" s="858"/>
      <c r="O5" s="858"/>
      <c r="P5" s="858"/>
    </row>
    <row r="6" spans="1:16" ht="30" customHeight="1" x14ac:dyDescent="0.3">
      <c r="A6" s="259" t="str">
        <f>IF(L6=1,"LiNX-"&amp;TEXT(COUNTIF($L$3:L6, "1"), "0"), "")</f>
        <v>LiNX-3</v>
      </c>
      <c r="B6" s="183" t="s">
        <v>43</v>
      </c>
      <c r="C6" s="320" t="s">
        <v>800</v>
      </c>
      <c r="D6" s="185"/>
      <c r="E6" s="186"/>
      <c r="F6" s="191"/>
      <c r="G6" s="187" t="s">
        <v>101</v>
      </c>
      <c r="H6" s="131">
        <f>COUNTIF(G:G,"=Exception")</f>
        <v>0</v>
      </c>
      <c r="I6" s="116">
        <f>IF(NOT(ISBLANK($B6)),VLOOKUP($B6,specdata,2,FALSE()),"")</f>
        <v>1</v>
      </c>
      <c r="J6" s="116">
        <f>VLOOKUP(G6,AvailabilityData,2,FALSE())</f>
        <v>0</v>
      </c>
      <c r="K6" s="116">
        <f>I6*J6</f>
        <v>0</v>
      </c>
      <c r="L6" s="115">
        <v>1</v>
      </c>
      <c r="N6" s="858"/>
      <c r="O6" s="858"/>
      <c r="P6" s="858"/>
    </row>
    <row r="7" spans="1:16" ht="30" customHeight="1" x14ac:dyDescent="0.3">
      <c r="A7" s="259" t="str">
        <f>IF(L7=1,"LiNX-"&amp;TEXT(COUNTIF($L$3:L7, "1"), "0"), "")</f>
        <v>LiNX-4</v>
      </c>
      <c r="B7" s="183" t="s">
        <v>43</v>
      </c>
      <c r="C7" s="149" t="s">
        <v>801</v>
      </c>
      <c r="D7" s="185"/>
      <c r="E7" s="186"/>
      <c r="F7" s="166"/>
      <c r="G7" s="137" t="s">
        <v>101</v>
      </c>
      <c r="H7" s="140">
        <f>COUNTIFS(B:B,"=Critical",G:G,"=Select from Drop Down List")</f>
        <v>0</v>
      </c>
      <c r="I7" s="116">
        <f>IF(NOT(ISBLANK($B7)),VLOOKUP($B7,specdata,2,FALSE()),"")</f>
        <v>1</v>
      </c>
      <c r="J7" s="116">
        <f>VLOOKUP(G7,AvailabilityData,2,FALSE())</f>
        <v>0</v>
      </c>
      <c r="K7" s="116">
        <f>I7*J7</f>
        <v>0</v>
      </c>
      <c r="L7" s="115">
        <v>1</v>
      </c>
    </row>
    <row r="8" spans="1:16" ht="30" customHeight="1" x14ac:dyDescent="0.3">
      <c r="A8" s="259" t="str">
        <f>IF(L8=1,"LiNX-"&amp;TEXT(COUNTIF($L$3:L8, "1"), "0"), "")</f>
        <v>LiNX-5</v>
      </c>
      <c r="B8" s="260" t="s">
        <v>43</v>
      </c>
      <c r="C8" s="170" t="s">
        <v>802</v>
      </c>
      <c r="D8" s="192"/>
      <c r="E8" s="172"/>
      <c r="F8" s="173"/>
      <c r="G8" s="176" t="s">
        <v>101</v>
      </c>
      <c r="H8" s="140">
        <f>COUNTIFS(B:B,"=Critical",G:G,"=Function Available")</f>
        <v>0</v>
      </c>
      <c r="I8" s="116">
        <f>IF(NOT(ISBLANK($B8)),VLOOKUP($B8,specdata,2,FALSE()),"")</f>
        <v>1</v>
      </c>
      <c r="J8" s="116">
        <f>VLOOKUP(G8,AvailabilityData,2,FALSE())</f>
        <v>0</v>
      </c>
      <c r="K8" s="116">
        <f>I8*J8</f>
        <v>0</v>
      </c>
      <c r="L8" s="115">
        <v>1</v>
      </c>
    </row>
    <row r="9" spans="1:16" ht="31.2" x14ac:dyDescent="0.3">
      <c r="A9" s="316"/>
      <c r="B9" s="126"/>
      <c r="C9" s="178" t="s">
        <v>803</v>
      </c>
      <c r="D9" s="194"/>
      <c r="E9" s="180"/>
      <c r="F9" s="181"/>
      <c r="G9" s="182"/>
      <c r="H9" s="140">
        <f>COUNTIFS(B:B,"=Critical",G:G,"=Function Not Available")</f>
        <v>0</v>
      </c>
    </row>
    <row r="10" spans="1:16" ht="30" customHeight="1" x14ac:dyDescent="0.3">
      <c r="A10" s="259" t="str">
        <f>IF(L10=1,"LiNX-"&amp;TEXT(COUNTIF($L$3:L10, "1"), "0"), "")</f>
        <v>LiNX-6</v>
      </c>
      <c r="B10" s="183" t="s">
        <v>43</v>
      </c>
      <c r="C10" s="320" t="s">
        <v>804</v>
      </c>
      <c r="D10" s="185"/>
      <c r="E10" s="186"/>
      <c r="F10" s="187"/>
      <c r="G10" s="249" t="s">
        <v>101</v>
      </c>
      <c r="H10" s="140">
        <f>COUNTIFS(B:B,"=Critical",G:G,"=Exception")</f>
        <v>0</v>
      </c>
      <c r="I10" s="116">
        <f t="shared" ref="I10:I21" si="0">IF(NOT(ISBLANK($B10)),VLOOKUP($B10,specdata,2,FALSE()),"")</f>
        <v>1</v>
      </c>
      <c r="J10" s="116">
        <f t="shared" ref="J10:J21" si="1">VLOOKUP(G10,AvailabilityData,2,FALSE())</f>
        <v>0</v>
      </c>
      <c r="K10" s="116">
        <f t="shared" ref="K10:K21" si="2">I10*J10</f>
        <v>0</v>
      </c>
      <c r="L10" s="115">
        <v>1</v>
      </c>
    </row>
    <row r="11" spans="1:16" ht="30" customHeight="1" x14ac:dyDescent="0.3">
      <c r="A11" s="259" t="str">
        <f>IF(L11=1,"LiNX-"&amp;TEXT(COUNTIF($L$3:L11, "1"), "0"), "")</f>
        <v>LiNX-7</v>
      </c>
      <c r="B11" s="133" t="s">
        <v>43</v>
      </c>
      <c r="C11" s="149" t="s">
        <v>805</v>
      </c>
      <c r="D11" s="138"/>
      <c r="E11" s="168"/>
      <c r="F11" s="137"/>
      <c r="G11" s="240" t="s">
        <v>101</v>
      </c>
      <c r="H11" s="146">
        <f>COUNTIFS(B:B,"=Important",G:G,"=Select from Drop Down List")</f>
        <v>21</v>
      </c>
      <c r="I11" s="116">
        <f t="shared" si="0"/>
        <v>1</v>
      </c>
      <c r="J11" s="116">
        <f t="shared" si="1"/>
        <v>0</v>
      </c>
      <c r="K11" s="116">
        <f t="shared" si="2"/>
        <v>0</v>
      </c>
      <c r="L11" s="115">
        <v>1</v>
      </c>
    </row>
    <row r="12" spans="1:16" ht="45" customHeight="1" x14ac:dyDescent="0.3">
      <c r="A12" s="259" t="str">
        <f>IF(L12=1,"LiNX-"&amp;TEXT(COUNTIF($L$3:L12, "1"), "0"), "")</f>
        <v>LiNX-8</v>
      </c>
      <c r="B12" s="169" t="s">
        <v>43</v>
      </c>
      <c r="C12" s="149" t="s">
        <v>806</v>
      </c>
      <c r="D12" s="462"/>
      <c r="E12" s="175"/>
      <c r="F12" s="176"/>
      <c r="G12" s="242" t="s">
        <v>101</v>
      </c>
      <c r="H12" s="146">
        <f>COUNTIFS(B:B,"=Important",G:G,"=Function Available")</f>
        <v>0</v>
      </c>
      <c r="I12" s="116">
        <f t="shared" si="0"/>
        <v>1</v>
      </c>
      <c r="J12" s="116">
        <f t="shared" si="1"/>
        <v>0</v>
      </c>
      <c r="K12" s="116">
        <f t="shared" si="2"/>
        <v>0</v>
      </c>
      <c r="L12" s="115">
        <v>1</v>
      </c>
    </row>
    <row r="13" spans="1:16" ht="45" customHeight="1" x14ac:dyDescent="0.3">
      <c r="A13" s="259" t="str">
        <f>IF(L13=1,"LiNX-"&amp;TEXT(COUNTIF($L$3:L13, "1"), "0"), "")</f>
        <v>LiNX-9</v>
      </c>
      <c r="B13" s="169" t="s">
        <v>43</v>
      </c>
      <c r="C13" s="149" t="s">
        <v>807</v>
      </c>
      <c r="D13" s="150"/>
      <c r="E13" s="175"/>
      <c r="F13" s="176"/>
      <c r="G13" s="242" t="s">
        <v>101</v>
      </c>
      <c r="H13" s="146">
        <f>COUNTIFS(B:B,"=Important",G:G,"=Function Not Available")</f>
        <v>0</v>
      </c>
      <c r="I13" s="116">
        <f t="shared" si="0"/>
        <v>1</v>
      </c>
      <c r="J13" s="116">
        <f t="shared" si="1"/>
        <v>0</v>
      </c>
      <c r="K13" s="116">
        <f t="shared" si="2"/>
        <v>0</v>
      </c>
      <c r="L13" s="115">
        <v>1</v>
      </c>
    </row>
    <row r="14" spans="1:16" ht="45" customHeight="1" x14ac:dyDescent="0.3">
      <c r="A14" s="259" t="str">
        <f>IF(L14=1,"LiNX-"&amp;TEXT(COUNTIF($L$3:L14, "1"), "0"), "")</f>
        <v>LiNX-10</v>
      </c>
      <c r="B14" s="169" t="s">
        <v>43</v>
      </c>
      <c r="C14" s="463" t="s">
        <v>808</v>
      </c>
      <c r="D14" s="150"/>
      <c r="E14" s="175"/>
      <c r="F14" s="176"/>
      <c r="G14" s="242" t="s">
        <v>101</v>
      </c>
      <c r="H14" s="146">
        <f>COUNTIFS(B:B,"=Important",G:G,"=Exception")</f>
        <v>0</v>
      </c>
      <c r="I14" s="116">
        <f t="shared" si="0"/>
        <v>1</v>
      </c>
      <c r="J14" s="116">
        <f t="shared" si="1"/>
        <v>0</v>
      </c>
      <c r="K14" s="116">
        <f t="shared" si="2"/>
        <v>0</v>
      </c>
      <c r="L14" s="115">
        <v>1</v>
      </c>
    </row>
    <row r="15" spans="1:16" ht="45" customHeight="1" x14ac:dyDescent="0.3">
      <c r="A15" s="259" t="str">
        <f>IF(L15=1,"LiNX-"&amp;TEXT(COUNTIF($L$3:L15, "1"), "0"), "")</f>
        <v>LiNX-11</v>
      </c>
      <c r="B15" s="169" t="s">
        <v>43</v>
      </c>
      <c r="C15" s="463" t="s">
        <v>809</v>
      </c>
      <c r="D15" s="150"/>
      <c r="E15" s="175"/>
      <c r="F15" s="176"/>
      <c r="G15" s="242" t="s">
        <v>101</v>
      </c>
      <c r="H15" s="147">
        <f>COUNTIFS(B:B,"=Informational",G:G,"=Select from Drop Down List")</f>
        <v>0</v>
      </c>
      <c r="I15" s="116">
        <f t="shared" si="0"/>
        <v>1</v>
      </c>
      <c r="J15" s="116">
        <f t="shared" si="1"/>
        <v>0</v>
      </c>
      <c r="K15" s="116">
        <f t="shared" si="2"/>
        <v>0</v>
      </c>
      <c r="L15" s="115">
        <v>1</v>
      </c>
    </row>
    <row r="16" spans="1:16" ht="45" customHeight="1" x14ac:dyDescent="0.3">
      <c r="A16" s="259" t="str">
        <f>IF(L16=1,"LiNX-"&amp;TEXT(COUNTIF($L$3:L16, "1"), "0"), "")</f>
        <v>LiNX-12</v>
      </c>
      <c r="B16" s="169" t="s">
        <v>43</v>
      </c>
      <c r="C16" s="463" t="s">
        <v>810</v>
      </c>
      <c r="D16" s="150"/>
      <c r="E16" s="175"/>
      <c r="F16" s="176"/>
      <c r="G16" s="242" t="s">
        <v>101</v>
      </c>
      <c r="H16" s="147">
        <f>COUNTIFS(B:B,"=Informational",G:G,"=Function Available")</f>
        <v>0</v>
      </c>
      <c r="I16" s="116">
        <f t="shared" si="0"/>
        <v>1</v>
      </c>
      <c r="J16" s="116">
        <f t="shared" si="1"/>
        <v>0</v>
      </c>
      <c r="K16" s="116">
        <f t="shared" si="2"/>
        <v>0</v>
      </c>
      <c r="L16" s="115">
        <v>1</v>
      </c>
    </row>
    <row r="17" spans="1:12" ht="45" customHeight="1" x14ac:dyDescent="0.3">
      <c r="A17" s="259" t="str">
        <f>IF(L17=1,"LiNX-"&amp;TEXT(COUNTIF($L$3:L17, "1"), "0"), "")</f>
        <v>LiNX-13</v>
      </c>
      <c r="B17" s="169" t="s">
        <v>43</v>
      </c>
      <c r="C17" s="463" t="s">
        <v>811</v>
      </c>
      <c r="D17" s="150"/>
      <c r="E17" s="175"/>
      <c r="F17" s="176"/>
      <c r="G17" s="242" t="s">
        <v>101</v>
      </c>
      <c r="H17" s="147">
        <f>COUNTIFS(B:B,"=Informational",G:G,"=Function Not Available")</f>
        <v>0</v>
      </c>
      <c r="I17" s="116">
        <f t="shared" si="0"/>
        <v>1</v>
      </c>
      <c r="J17" s="116">
        <f t="shared" si="1"/>
        <v>0</v>
      </c>
      <c r="K17" s="116">
        <f t="shared" si="2"/>
        <v>0</v>
      </c>
      <c r="L17" s="115">
        <v>1</v>
      </c>
    </row>
    <row r="18" spans="1:12" ht="45" customHeight="1" x14ac:dyDescent="0.3">
      <c r="A18" s="259" t="str">
        <f>IF(L18=1,"LiNX-"&amp;TEXT(COUNTIF($L$3:L18, "1"), "0"), "")</f>
        <v>LiNX-14</v>
      </c>
      <c r="B18" s="169" t="s">
        <v>43</v>
      </c>
      <c r="C18" s="463" t="s">
        <v>812</v>
      </c>
      <c r="D18" s="150"/>
      <c r="E18" s="175"/>
      <c r="F18" s="176"/>
      <c r="G18" s="242" t="s">
        <v>101</v>
      </c>
      <c r="H18" s="147">
        <f>COUNTIFS(B:B,"=Informational",G:G,"=Exception")</f>
        <v>0</v>
      </c>
      <c r="I18" s="116">
        <f t="shared" si="0"/>
        <v>1</v>
      </c>
      <c r="J18" s="116">
        <f t="shared" si="1"/>
        <v>0</v>
      </c>
      <c r="K18" s="116">
        <f t="shared" si="2"/>
        <v>0</v>
      </c>
      <c r="L18" s="115">
        <v>1</v>
      </c>
    </row>
    <row r="19" spans="1:12" ht="45" customHeight="1" x14ac:dyDescent="0.3">
      <c r="A19" s="259" t="str">
        <f>IF(L19=1,"LiNX-"&amp;TEXT(COUNTIF($L$3:L19, "1"), "0"), "")</f>
        <v>LiNX-15</v>
      </c>
      <c r="B19" s="169" t="s">
        <v>43</v>
      </c>
      <c r="C19" s="463" t="s">
        <v>813</v>
      </c>
      <c r="D19" s="150"/>
      <c r="E19" s="175"/>
      <c r="F19" s="176"/>
      <c r="G19" s="242" t="s">
        <v>101</v>
      </c>
      <c r="I19" s="116">
        <f t="shared" si="0"/>
        <v>1</v>
      </c>
      <c r="J19" s="116">
        <f t="shared" si="1"/>
        <v>0</v>
      </c>
      <c r="K19" s="116">
        <f t="shared" si="2"/>
        <v>0</v>
      </c>
      <c r="L19" s="115">
        <v>1</v>
      </c>
    </row>
    <row r="20" spans="1:12" ht="45" customHeight="1" x14ac:dyDescent="0.3">
      <c r="A20" s="259" t="str">
        <f>IF(L20=1,"LiNX-"&amp;TEXT(COUNTIF($L$3:L20, "1"), "0"), "")</f>
        <v>LiNX-16</v>
      </c>
      <c r="B20" s="133" t="s">
        <v>43</v>
      </c>
      <c r="C20" s="463" t="s">
        <v>814</v>
      </c>
      <c r="D20" s="462"/>
      <c r="E20" s="175"/>
      <c r="F20" s="176"/>
      <c r="G20" s="242" t="s">
        <v>101</v>
      </c>
      <c r="I20" s="116">
        <f t="shared" si="0"/>
        <v>1</v>
      </c>
      <c r="J20" s="116">
        <f t="shared" si="1"/>
        <v>0</v>
      </c>
      <c r="K20" s="116">
        <f t="shared" si="2"/>
        <v>0</v>
      </c>
      <c r="L20" s="115">
        <v>1</v>
      </c>
    </row>
    <row r="21" spans="1:12" ht="30" customHeight="1" x14ac:dyDescent="0.3">
      <c r="A21" s="259" t="str">
        <f>IF(L21=1,"LiNX-"&amp;TEXT(COUNTIF($L$3:L21, "1"), "0"), "")</f>
        <v>LiNX-17</v>
      </c>
      <c r="B21" s="169" t="s">
        <v>43</v>
      </c>
      <c r="C21" s="322" t="s">
        <v>815</v>
      </c>
      <c r="D21" s="323"/>
      <c r="E21" s="175"/>
      <c r="F21" s="176"/>
      <c r="G21" s="242" t="s">
        <v>101</v>
      </c>
      <c r="I21" s="116">
        <f t="shared" si="0"/>
        <v>1</v>
      </c>
      <c r="J21" s="116">
        <f t="shared" si="1"/>
        <v>0</v>
      </c>
      <c r="K21" s="116">
        <f t="shared" si="2"/>
        <v>0</v>
      </c>
      <c r="L21" s="115">
        <v>1</v>
      </c>
    </row>
    <row r="22" spans="1:12" x14ac:dyDescent="0.3">
      <c r="A22" s="316"/>
      <c r="B22" s="126"/>
      <c r="C22" s="464" t="s">
        <v>816</v>
      </c>
      <c r="D22" s="194"/>
      <c r="E22" s="180"/>
      <c r="F22" s="181"/>
      <c r="G22" s="182"/>
    </row>
    <row r="23" spans="1:12" ht="30" customHeight="1" x14ac:dyDescent="0.3">
      <c r="A23" s="259" t="str">
        <f>IF(L23=1,"LiNX-"&amp;TEXT(COUNTIF($L$3:L23, "1"), "0"), "")</f>
        <v>LiNX-18</v>
      </c>
      <c r="B23" s="183" t="s">
        <v>43</v>
      </c>
      <c r="C23" s="320" t="s">
        <v>170</v>
      </c>
      <c r="D23" s="185"/>
      <c r="E23" s="186"/>
      <c r="F23" s="191"/>
      <c r="G23" s="187" t="s">
        <v>101</v>
      </c>
      <c r="I23" s="116">
        <f>IF(NOT(ISBLANK($B23)),VLOOKUP($B23,specdata,2,FALSE()),"")</f>
        <v>1</v>
      </c>
      <c r="J23" s="116">
        <f>VLOOKUP(G23,AvailabilityData,2,FALSE())</f>
        <v>0</v>
      </c>
      <c r="K23" s="116">
        <f>I23*J23</f>
        <v>0</v>
      </c>
      <c r="L23" s="115">
        <v>1</v>
      </c>
    </row>
    <row r="24" spans="1:12" ht="30" customHeight="1" x14ac:dyDescent="0.3">
      <c r="A24" s="259" t="str">
        <f>IF(L24=1,"LiNX-"&amp;TEXT(COUNTIF($L$3:L24, "1"), "0"), "")</f>
        <v>LiNX-19</v>
      </c>
      <c r="B24" s="133" t="s">
        <v>43</v>
      </c>
      <c r="C24" s="149" t="s">
        <v>172</v>
      </c>
      <c r="D24" s="185"/>
      <c r="E24" s="186"/>
      <c r="F24" s="166"/>
      <c r="G24" s="137" t="s">
        <v>101</v>
      </c>
      <c r="I24" s="116">
        <f>IF(NOT(ISBLANK($B24)),VLOOKUP($B24,specdata,2,FALSE()),"")</f>
        <v>1</v>
      </c>
      <c r="J24" s="116">
        <f>VLOOKUP(G24,AvailabilityData,2,FALSE())</f>
        <v>0</v>
      </c>
      <c r="K24" s="116">
        <f>I24*J24</f>
        <v>0</v>
      </c>
      <c r="L24" s="115">
        <v>1</v>
      </c>
    </row>
    <row r="25" spans="1:12" ht="30" customHeight="1" x14ac:dyDescent="0.3">
      <c r="A25" s="259" t="str">
        <f>IF(L25=1,"LiNX-"&amp;TEXT(COUNTIF($L$3:L25, "1"), "0"), "")</f>
        <v>LiNX-20</v>
      </c>
      <c r="B25" s="133" t="s">
        <v>43</v>
      </c>
      <c r="C25" s="149" t="s">
        <v>171</v>
      </c>
      <c r="D25" s="185"/>
      <c r="E25" s="186"/>
      <c r="F25" s="166"/>
      <c r="G25" s="137" t="s">
        <v>101</v>
      </c>
      <c r="I25" s="116">
        <f>IF(NOT(ISBLANK($B25)),VLOOKUP($B25,specdata,2,FALSE()),"")</f>
        <v>1</v>
      </c>
      <c r="J25" s="116">
        <f>VLOOKUP(G25,AvailabilityData,2,FALSE())</f>
        <v>0</v>
      </c>
      <c r="K25" s="116">
        <f>I25*J25</f>
        <v>0</v>
      </c>
      <c r="L25" s="115">
        <v>1</v>
      </c>
    </row>
    <row r="26" spans="1:12" ht="30" customHeight="1" x14ac:dyDescent="0.3">
      <c r="A26" s="259" t="str">
        <f>IF(L26=1,"LiNX-"&amp;TEXT(COUNTIF($L$3:L26, "1"), "0"), "")</f>
        <v>LiNX-21</v>
      </c>
      <c r="B26" s="133" t="s">
        <v>43</v>
      </c>
      <c r="C26" s="149" t="s">
        <v>173</v>
      </c>
      <c r="D26" s="138"/>
      <c r="E26" s="168"/>
      <c r="F26" s="137"/>
      <c r="G26" s="137" t="s">
        <v>101</v>
      </c>
      <c r="I26" s="116">
        <f>IF(NOT(ISBLANK($B26)),VLOOKUP($B26,specdata,2,FALSE()),"")</f>
        <v>1</v>
      </c>
      <c r="J26" s="116">
        <f>VLOOKUP(G26,AvailabilityData,2,FALSE())</f>
        <v>0</v>
      </c>
      <c r="K26" s="116">
        <f>I26*J26</f>
        <v>0</v>
      </c>
      <c r="L26" s="115">
        <v>1</v>
      </c>
    </row>
    <row r="27" spans="1:12" ht="30" customHeight="1" x14ac:dyDescent="0.3"/>
    <row r="28" spans="1:12" ht="30" customHeight="1" x14ac:dyDescent="0.3"/>
    <row r="29" spans="1:12" ht="30" customHeight="1" x14ac:dyDescent="0.3"/>
    <row r="30" spans="1:12" ht="30" customHeight="1" x14ac:dyDescent="0.3"/>
    <row r="31" spans="1:12" ht="30" customHeight="1" x14ac:dyDescent="0.3"/>
    <row r="32" spans="1:12" ht="30" customHeight="1" x14ac:dyDescent="0.3"/>
    <row r="33" spans="1:11" ht="30" customHeight="1" x14ac:dyDescent="0.3"/>
    <row r="34" spans="1:11" ht="30" customHeight="1" x14ac:dyDescent="0.3"/>
    <row r="35" spans="1:11" ht="30" customHeight="1" x14ac:dyDescent="0.3"/>
    <row r="36" spans="1:11" ht="30" customHeight="1" x14ac:dyDescent="0.3"/>
    <row r="37" spans="1:11" s="131" customFormat="1" ht="30" customHeight="1" x14ac:dyDescent="0.3">
      <c r="A37" s="113"/>
      <c r="B37" s="113"/>
      <c r="C37" s="261"/>
      <c r="D37" s="115"/>
      <c r="E37" s="115"/>
      <c r="F37" s="115"/>
      <c r="G37" s="115"/>
      <c r="H37" s="116"/>
      <c r="I37" s="116"/>
      <c r="J37" s="116"/>
      <c r="K37" s="116"/>
    </row>
    <row r="38" spans="1:11" s="131" customFormat="1" ht="30" customHeight="1" x14ac:dyDescent="0.3">
      <c r="A38" s="113"/>
      <c r="B38" s="113"/>
      <c r="C38" s="261"/>
      <c r="D38" s="115"/>
      <c r="E38" s="115"/>
      <c r="F38" s="115"/>
      <c r="G38" s="115"/>
      <c r="H38" s="116"/>
      <c r="I38" s="116"/>
      <c r="J38" s="116"/>
      <c r="K38" s="116"/>
    </row>
    <row r="39" spans="1:11" s="131" customFormat="1" ht="30" customHeight="1" x14ac:dyDescent="0.3">
      <c r="A39" s="113"/>
      <c r="B39" s="113"/>
      <c r="C39" s="261"/>
      <c r="D39" s="115"/>
      <c r="E39" s="115"/>
      <c r="F39" s="115"/>
      <c r="G39" s="115"/>
      <c r="H39" s="116"/>
      <c r="I39" s="116"/>
      <c r="J39" s="116"/>
      <c r="K39" s="116"/>
    </row>
    <row r="40" spans="1:11" s="131" customFormat="1" ht="30" customHeight="1" x14ac:dyDescent="0.3">
      <c r="A40" s="113"/>
      <c r="B40" s="113"/>
      <c r="C40" s="261"/>
      <c r="D40" s="115"/>
      <c r="E40" s="115"/>
      <c r="F40" s="115"/>
      <c r="G40" s="115"/>
      <c r="H40" s="116"/>
      <c r="I40" s="116"/>
      <c r="J40" s="116"/>
      <c r="K40" s="116"/>
    </row>
    <row r="41" spans="1:11" s="131" customFormat="1" ht="30" customHeight="1" x14ac:dyDescent="0.3">
      <c r="A41" s="113"/>
      <c r="B41" s="113"/>
      <c r="C41" s="261"/>
      <c r="D41" s="115"/>
      <c r="E41" s="115"/>
      <c r="F41" s="115"/>
      <c r="G41" s="115"/>
      <c r="H41" s="116"/>
      <c r="I41" s="116"/>
      <c r="J41" s="116"/>
      <c r="K41" s="116"/>
    </row>
    <row r="42" spans="1:11" s="131" customFormat="1" ht="30" customHeight="1" x14ac:dyDescent="0.3">
      <c r="A42" s="113"/>
      <c r="B42" s="113"/>
      <c r="C42" s="261"/>
      <c r="D42" s="115"/>
      <c r="E42" s="115"/>
      <c r="F42" s="115"/>
      <c r="G42" s="115"/>
      <c r="H42" s="116"/>
      <c r="I42" s="116"/>
      <c r="J42" s="116"/>
      <c r="K42" s="116"/>
    </row>
    <row r="43" spans="1:11" s="131" customFormat="1" ht="30" customHeight="1" x14ac:dyDescent="0.3">
      <c r="A43" s="113"/>
      <c r="B43" s="113"/>
      <c r="C43" s="261"/>
      <c r="D43" s="115"/>
      <c r="E43" s="115"/>
      <c r="F43" s="115"/>
      <c r="G43" s="115"/>
      <c r="H43" s="116"/>
      <c r="I43" s="116"/>
      <c r="J43" s="116"/>
      <c r="K43" s="116"/>
    </row>
    <row r="44" spans="1:11" s="131" customFormat="1" ht="30" customHeight="1" x14ac:dyDescent="0.3">
      <c r="A44" s="113"/>
      <c r="B44" s="113"/>
      <c r="C44" s="261"/>
      <c r="D44" s="115"/>
      <c r="E44" s="115"/>
      <c r="F44" s="115"/>
      <c r="G44" s="115"/>
      <c r="H44" s="116"/>
      <c r="I44" s="116"/>
      <c r="J44" s="116"/>
      <c r="K44" s="116"/>
    </row>
    <row r="45" spans="1:11" s="131" customFormat="1" ht="45" customHeight="1" x14ac:dyDescent="0.3">
      <c r="A45" s="113"/>
      <c r="B45" s="113"/>
      <c r="C45" s="261"/>
      <c r="D45" s="115"/>
      <c r="E45" s="115"/>
      <c r="F45" s="115"/>
      <c r="G45" s="115"/>
      <c r="H45" s="116"/>
      <c r="I45" s="116"/>
      <c r="J45" s="116"/>
      <c r="K45" s="116"/>
    </row>
    <row r="46" spans="1:11" s="131" customFormat="1" ht="30" customHeight="1" x14ac:dyDescent="0.3">
      <c r="A46" s="113"/>
      <c r="B46" s="113"/>
      <c r="C46" s="261"/>
      <c r="D46" s="115"/>
      <c r="E46" s="115"/>
      <c r="F46" s="115"/>
      <c r="G46" s="115"/>
      <c r="H46" s="116"/>
      <c r="I46" s="116"/>
      <c r="J46" s="116"/>
      <c r="K46" s="116"/>
    </row>
    <row r="47" spans="1:11" s="131" customFormat="1" ht="30" customHeight="1" x14ac:dyDescent="0.3">
      <c r="A47" s="113"/>
      <c r="B47" s="113"/>
      <c r="C47" s="261"/>
      <c r="D47" s="115"/>
      <c r="E47" s="115"/>
      <c r="F47" s="115"/>
      <c r="G47" s="115"/>
      <c r="H47" s="116"/>
      <c r="I47" s="116"/>
      <c r="J47" s="116"/>
      <c r="K47" s="116"/>
    </row>
    <row r="48" spans="1:11" s="131" customFormat="1" ht="30" customHeight="1" x14ac:dyDescent="0.3">
      <c r="A48" s="113"/>
      <c r="B48" s="113"/>
      <c r="C48" s="261"/>
      <c r="D48" s="115"/>
      <c r="E48" s="115"/>
      <c r="F48" s="115"/>
      <c r="G48" s="115"/>
      <c r="H48" s="116"/>
      <c r="I48" s="116"/>
      <c r="J48" s="116"/>
      <c r="K48" s="116"/>
    </row>
    <row r="49" spans="1:11" s="131" customFormat="1" ht="30" customHeight="1" x14ac:dyDescent="0.3">
      <c r="A49" s="113"/>
      <c r="B49" s="113"/>
      <c r="C49" s="261"/>
      <c r="D49" s="115"/>
      <c r="E49" s="115"/>
      <c r="F49" s="115"/>
      <c r="G49" s="115"/>
      <c r="H49" s="116"/>
      <c r="I49" s="116"/>
      <c r="J49" s="116"/>
      <c r="K49" s="116"/>
    </row>
    <row r="50" spans="1:11" s="131" customFormat="1" ht="30" customHeight="1" x14ac:dyDescent="0.3">
      <c r="A50" s="113"/>
      <c r="B50" s="113"/>
      <c r="C50" s="261"/>
      <c r="D50" s="115"/>
      <c r="E50" s="115"/>
      <c r="F50" s="115"/>
      <c r="G50" s="115"/>
      <c r="H50" s="116"/>
      <c r="I50" s="116"/>
      <c r="J50" s="116"/>
      <c r="K50" s="116"/>
    </row>
    <row r="51" spans="1:11" s="131" customFormat="1" ht="30" customHeight="1" x14ac:dyDescent="0.3">
      <c r="A51" s="113"/>
      <c r="B51" s="113"/>
      <c r="C51" s="261"/>
      <c r="D51" s="115"/>
      <c r="E51" s="115"/>
      <c r="F51" s="115"/>
      <c r="G51" s="115"/>
      <c r="H51" s="116"/>
      <c r="I51" s="116"/>
      <c r="J51" s="116"/>
      <c r="K51" s="116"/>
    </row>
    <row r="52" spans="1:11" s="131" customFormat="1" ht="30" customHeight="1" x14ac:dyDescent="0.3">
      <c r="A52" s="113"/>
      <c r="B52" s="113"/>
      <c r="C52" s="261"/>
      <c r="D52" s="115"/>
      <c r="E52" s="115"/>
      <c r="F52" s="115"/>
      <c r="G52" s="115"/>
      <c r="H52" s="116"/>
      <c r="I52" s="116"/>
      <c r="J52" s="116"/>
      <c r="K52" s="116"/>
    </row>
    <row r="53" spans="1:11" s="131" customFormat="1" ht="30" customHeight="1" x14ac:dyDescent="0.3">
      <c r="A53" s="113"/>
      <c r="B53" s="113"/>
      <c r="C53" s="261"/>
      <c r="D53" s="115"/>
      <c r="E53" s="115"/>
      <c r="F53" s="115"/>
      <c r="G53" s="115"/>
      <c r="H53" s="116"/>
      <c r="I53" s="116"/>
      <c r="J53" s="116"/>
      <c r="K53" s="116"/>
    </row>
    <row r="54" spans="1:11" s="131" customFormat="1" ht="30" customHeight="1" x14ac:dyDescent="0.3">
      <c r="A54" s="113"/>
      <c r="B54" s="113"/>
      <c r="C54" s="261"/>
      <c r="D54" s="115"/>
      <c r="E54" s="115"/>
      <c r="F54" s="115"/>
      <c r="G54" s="115"/>
      <c r="H54" s="116"/>
      <c r="I54" s="116"/>
      <c r="J54" s="116"/>
      <c r="K54" s="116"/>
    </row>
    <row r="55" spans="1:11" s="131" customFormat="1" ht="30" customHeight="1" x14ac:dyDescent="0.3">
      <c r="A55" s="113"/>
      <c r="B55" s="113"/>
      <c r="C55" s="261"/>
      <c r="D55" s="115"/>
      <c r="E55" s="115"/>
      <c r="F55" s="115"/>
      <c r="G55" s="115"/>
      <c r="H55" s="116"/>
      <c r="I55" s="116"/>
      <c r="J55" s="116"/>
      <c r="K55" s="116"/>
    </row>
    <row r="56" spans="1:11" s="131" customFormat="1" ht="30" customHeight="1" x14ac:dyDescent="0.3">
      <c r="A56" s="113"/>
      <c r="B56" s="113"/>
      <c r="C56" s="261"/>
      <c r="D56" s="115"/>
      <c r="E56" s="115"/>
      <c r="F56" s="115"/>
      <c r="G56" s="115"/>
      <c r="H56" s="116"/>
      <c r="I56" s="116"/>
      <c r="J56" s="116"/>
      <c r="K56" s="116"/>
    </row>
    <row r="57" spans="1:11" s="131" customFormat="1" ht="30" customHeight="1" x14ac:dyDescent="0.3">
      <c r="A57" s="113"/>
      <c r="B57" s="113"/>
      <c r="C57" s="261"/>
      <c r="D57" s="115"/>
      <c r="E57" s="115"/>
      <c r="F57" s="115"/>
      <c r="G57" s="115"/>
      <c r="H57" s="116"/>
      <c r="I57" s="116"/>
      <c r="J57" s="116"/>
      <c r="K57" s="116"/>
    </row>
    <row r="58" spans="1:11" s="131" customFormat="1" ht="30" customHeight="1" x14ac:dyDescent="0.3">
      <c r="A58" s="113"/>
      <c r="B58" s="113"/>
      <c r="C58" s="261"/>
      <c r="D58" s="115"/>
      <c r="E58" s="115"/>
      <c r="F58" s="115"/>
      <c r="G58" s="115"/>
      <c r="H58" s="116"/>
      <c r="I58" s="116"/>
      <c r="J58" s="116"/>
      <c r="K58" s="116"/>
    </row>
    <row r="59" spans="1:11" s="131" customFormat="1" ht="30" customHeight="1" x14ac:dyDescent="0.3">
      <c r="A59" s="113"/>
      <c r="B59" s="113"/>
      <c r="C59" s="261"/>
      <c r="D59" s="115"/>
      <c r="E59" s="115"/>
      <c r="F59" s="115"/>
      <c r="G59" s="115"/>
      <c r="H59" s="116"/>
      <c r="I59" s="116"/>
      <c r="J59" s="116"/>
      <c r="K59" s="116"/>
    </row>
    <row r="60" spans="1:11" s="131" customFormat="1" ht="30" customHeight="1" x14ac:dyDescent="0.3">
      <c r="A60" s="113"/>
      <c r="B60" s="113"/>
      <c r="C60" s="261"/>
      <c r="D60" s="115"/>
      <c r="E60" s="115"/>
      <c r="F60" s="115"/>
      <c r="G60" s="115"/>
      <c r="H60" s="116"/>
      <c r="I60" s="116"/>
      <c r="J60" s="116"/>
      <c r="K60" s="116"/>
    </row>
    <row r="61" spans="1:11" s="131" customFormat="1" ht="30" customHeight="1" x14ac:dyDescent="0.3">
      <c r="A61" s="113"/>
      <c r="B61" s="113"/>
      <c r="C61" s="261"/>
      <c r="D61" s="115"/>
      <c r="E61" s="115"/>
      <c r="F61" s="115"/>
      <c r="G61" s="115"/>
      <c r="H61" s="116"/>
      <c r="I61" s="116"/>
      <c r="J61" s="116"/>
      <c r="K61" s="116"/>
    </row>
    <row r="62" spans="1:11" s="131" customFormat="1" ht="59.25" customHeight="1" x14ac:dyDescent="0.3">
      <c r="A62" s="113"/>
      <c r="B62" s="113"/>
      <c r="C62" s="261"/>
      <c r="D62" s="115"/>
      <c r="E62" s="115"/>
      <c r="F62" s="115"/>
      <c r="G62" s="115"/>
      <c r="H62" s="116"/>
      <c r="I62" s="116"/>
      <c r="J62" s="116"/>
      <c r="K62" s="116"/>
    </row>
  </sheetData>
  <mergeCells count="1">
    <mergeCell ref="N3:P6"/>
  </mergeCells>
  <conditionalFormatting sqref="B1:B1048576">
    <cfRule type="cellIs" dxfId="179" priority="2" operator="equal">
      <formula>"Informational"</formula>
    </cfRule>
    <cfRule type="cellIs" dxfId="178" priority="3" operator="equal">
      <formula>"Not Needed"</formula>
    </cfRule>
    <cfRule type="cellIs" dxfId="177" priority="4" operator="equal">
      <formula>"Critical"</formula>
    </cfRule>
    <cfRule type="cellIs" dxfId="176" priority="5" operator="equal">
      <formula>"Extremely Advantageous"</formula>
    </cfRule>
  </conditionalFormatting>
  <conditionalFormatting sqref="G1:G1048576">
    <cfRule type="cellIs" dxfId="175" priority="6" operator="equal">
      <formula>"Exception"</formula>
    </cfRule>
  </conditionalFormatting>
  <conditionalFormatting sqref="G3:G26">
    <cfRule type="cellIs" dxfId="174" priority="7" operator="equal">
      <formula>"Select from Drop Down List"</formula>
    </cfRule>
  </conditionalFormatting>
  <dataValidations count="2">
    <dataValidation type="list" allowBlank="1" showInputMessage="1" showErrorMessage="1" sqref="G3:G26" xr:uid="{00000000-0002-0000-1D00-000000000000}">
      <formula1>Availability</formula1>
      <formula2>0</formula2>
    </dataValidation>
    <dataValidation type="list" allowBlank="1" showInputMessage="1" showErrorMessage="1" errorTitle="Invalid specification type" error="Please enter a Specification type from the drop-down list." sqref="B3:B26" xr:uid="{00000000-0002-0000-1D00-000001000000}">
      <formula1>SpecType</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June 2024 ©&amp;R&amp;"Arial,Bold"&amp;10&amp;P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50"/>
    <pageSetUpPr fitToPage="1"/>
  </sheetPr>
  <dimension ref="A1:Q164"/>
  <sheetViews>
    <sheetView zoomScaleNormal="100" zoomScalePageLayoutView="90" workbookViewId="0">
      <selection activeCell="O3" sqref="O3:Q6"/>
    </sheetView>
  </sheetViews>
  <sheetFormatPr defaultColWidth="9" defaultRowHeight="15.6" x14ac:dyDescent="0.3"/>
  <cols>
    <col min="1" max="1" width="12.59765625" style="113" customWidth="1"/>
    <col min="2" max="2" width="14.59765625" style="113" customWidth="1"/>
    <col min="3" max="3" width="65.59765625" style="114" customWidth="1"/>
    <col min="4" max="4" width="65.59765625" style="115" customWidth="1"/>
    <col min="5" max="5" width="10.59765625" style="115" hidden="1" customWidth="1"/>
    <col min="6" max="6" width="6.59765625" style="115" hidden="1" customWidth="1"/>
    <col min="7" max="7" width="30.59765625" style="115" customWidth="1"/>
    <col min="8" max="11" width="8.59765625" style="116" hidden="1" customWidth="1"/>
    <col min="12" max="12" width="0" style="115" hidden="1" customWidth="1"/>
    <col min="13" max="16384" width="9" style="115"/>
  </cols>
  <sheetData>
    <row r="1" spans="1:17" s="124" customFormat="1" ht="105" customHeight="1" x14ac:dyDescent="0.25">
      <c r="A1" s="158" t="s">
        <v>102</v>
      </c>
      <c r="B1" s="158" t="s">
        <v>103</v>
      </c>
      <c r="C1" s="158" t="str">
        <f>'Support Data'!A18</f>
        <v>Specifications</v>
      </c>
      <c r="D1" s="159" t="str">
        <f>'Support Data'!$A$19</f>
        <v>Contractor Work Area</v>
      </c>
      <c r="E1" s="159" t="str">
        <f>'Support Data'!A20</f>
        <v>Def ID</v>
      </c>
      <c r="F1" s="160" t="s">
        <v>78</v>
      </c>
      <c r="G1" s="159" t="str">
        <f>'Support Data'!A22</f>
        <v>Availability</v>
      </c>
      <c r="H1" s="465"/>
      <c r="I1" s="465" t="str">
        <f>'Support Data'!$A$14</f>
        <v>Function Available</v>
      </c>
      <c r="J1" s="465" t="str">
        <f>'Support Data'!$A$15</f>
        <v>Function Not Available</v>
      </c>
      <c r="K1" s="465" t="str">
        <f>'Support Data'!$A$16</f>
        <v>Exception</v>
      </c>
      <c r="L1" s="466" t="s">
        <v>104</v>
      </c>
      <c r="M1" s="838"/>
    </row>
    <row r="2" spans="1:17" x14ac:dyDescent="0.3">
      <c r="A2" s="125" t="s">
        <v>817</v>
      </c>
      <c r="B2" s="161"/>
      <c r="C2" s="127"/>
      <c r="D2" s="128"/>
      <c r="E2" s="130"/>
      <c r="F2" s="130"/>
      <c r="G2" s="268"/>
      <c r="H2" s="116">
        <f>COUNTA(B3:B26)</f>
        <v>19</v>
      </c>
      <c r="K2" s="116">
        <f>SUM(K3:K26)</f>
        <v>0</v>
      </c>
    </row>
    <row r="3" spans="1:17" ht="30" customHeight="1" x14ac:dyDescent="0.3">
      <c r="A3" s="318" t="str">
        <f>IF(L3=1,"Livescan-"&amp;TEXT(COUNTIF($L$3:L3, "1"), "0"), "")</f>
        <v>Livescan-1</v>
      </c>
      <c r="B3" s="260" t="s">
        <v>43</v>
      </c>
      <c r="C3" s="251" t="s">
        <v>818</v>
      </c>
      <c r="D3" s="252"/>
      <c r="E3" s="253"/>
      <c r="F3" s="467"/>
      <c r="G3" s="230" t="s">
        <v>101</v>
      </c>
      <c r="H3" s="131">
        <f>COUNTIF(G:G,"=Select from Drop Down List")</f>
        <v>19</v>
      </c>
      <c r="I3" s="116">
        <f>IF(NOT(ISBLANK($B3)),VLOOKUP($B3,specdata,2,FALSE()),"")</f>
        <v>1</v>
      </c>
      <c r="J3" s="116">
        <f>VLOOKUP(G3,AvailabilityData,2,FALSE())</f>
        <v>0</v>
      </c>
      <c r="K3" s="116">
        <f>I3*J3</f>
        <v>0</v>
      </c>
      <c r="L3" s="115">
        <v>1</v>
      </c>
      <c r="O3" s="857"/>
      <c r="P3" s="857"/>
      <c r="Q3" s="857"/>
    </row>
    <row r="4" spans="1:17" x14ac:dyDescent="0.3">
      <c r="A4" s="653"/>
      <c r="B4" s="126"/>
      <c r="C4" s="243" t="s">
        <v>819</v>
      </c>
      <c r="D4" s="244"/>
      <c r="E4" s="245"/>
      <c r="F4" s="245"/>
      <c r="G4" s="268"/>
      <c r="H4" s="131">
        <f>COUNTIF(G:G,"=Function Available")</f>
        <v>0</v>
      </c>
      <c r="O4" s="857"/>
      <c r="P4" s="857"/>
      <c r="Q4" s="857"/>
    </row>
    <row r="5" spans="1:17" ht="30" customHeight="1" x14ac:dyDescent="0.3">
      <c r="A5" s="163" t="str">
        <f>IF(L5=1,"Livescan-"&amp;TEXT(COUNTIF($L$3:L5, "1"), "0"), "")</f>
        <v>Livescan-2</v>
      </c>
      <c r="B5" s="183" t="s">
        <v>43</v>
      </c>
      <c r="C5" s="254" t="s">
        <v>820</v>
      </c>
      <c r="D5" s="247"/>
      <c r="E5" s="248"/>
      <c r="F5" s="248"/>
      <c r="G5" s="187" t="s">
        <v>101</v>
      </c>
      <c r="H5" s="131">
        <f>COUNTIF(F:G,"=Function Not Available")</f>
        <v>0</v>
      </c>
      <c r="I5" s="116">
        <f>IF(NOT(ISBLANK($B5)),VLOOKUP($B5,specdata,2,FALSE()),"")</f>
        <v>1</v>
      </c>
      <c r="J5" s="116">
        <f>VLOOKUP(G5,AvailabilityData,2,FALSE())</f>
        <v>0</v>
      </c>
      <c r="K5" s="116">
        <f>I5*J5</f>
        <v>0</v>
      </c>
      <c r="L5" s="115">
        <v>1</v>
      </c>
      <c r="O5" s="857"/>
      <c r="P5" s="857"/>
      <c r="Q5" s="857"/>
    </row>
    <row r="6" spans="1:17" ht="30" customHeight="1" x14ac:dyDescent="0.3">
      <c r="A6" s="163" t="str">
        <f>IF(L6=1,"Livescan-"&amp;TEXT(COUNTIF($L$3:L6, "1"), "0"), "")</f>
        <v>Livescan-3</v>
      </c>
      <c r="B6" s="133" t="s">
        <v>43</v>
      </c>
      <c r="C6" s="237" t="s">
        <v>821</v>
      </c>
      <c r="D6" s="241"/>
      <c r="E6" s="239"/>
      <c r="F6" s="239"/>
      <c r="G6" s="137" t="s">
        <v>101</v>
      </c>
      <c r="H6" s="131">
        <f>COUNTIF(G:G,"=Exception")</f>
        <v>0</v>
      </c>
      <c r="I6" s="116">
        <f>IF(NOT(ISBLANK($B6)),VLOOKUP($B6,specdata,2,FALSE()),"")</f>
        <v>1</v>
      </c>
      <c r="J6" s="116">
        <f>VLOOKUP(G6,AvailabilityData,2,FALSE())</f>
        <v>0</v>
      </c>
      <c r="K6" s="116">
        <f>I6*J6</f>
        <v>0</v>
      </c>
      <c r="L6" s="115">
        <v>1</v>
      </c>
      <c r="O6" s="857"/>
      <c r="P6" s="857"/>
      <c r="Q6" s="857"/>
    </row>
    <row r="7" spans="1:17" ht="30" customHeight="1" x14ac:dyDescent="0.3">
      <c r="A7" s="163" t="str">
        <f>IF(L7=1,"Livescan-"&amp;TEXT(COUNTIF($L$3:L7, "1"), "0"), "")</f>
        <v>Livescan-4</v>
      </c>
      <c r="B7" s="169" t="s">
        <v>43</v>
      </c>
      <c r="C7" s="251" t="s">
        <v>822</v>
      </c>
      <c r="D7" s="252"/>
      <c r="E7" s="253"/>
      <c r="F7" s="253"/>
      <c r="G7" s="176" t="s">
        <v>101</v>
      </c>
      <c r="H7" s="140">
        <f>COUNTIFS(B:B,"=Critical",G:G,"=Select from Drop Down List")</f>
        <v>0</v>
      </c>
      <c r="I7" s="116">
        <f>IF(NOT(ISBLANK($B7)),VLOOKUP($B7,specdata,2,FALSE()),"")</f>
        <v>1</v>
      </c>
      <c r="J7" s="116">
        <f>VLOOKUP(G7,AvailabilityData,2,FALSE())</f>
        <v>0</v>
      </c>
      <c r="K7" s="116">
        <f>I7*J7</f>
        <v>0</v>
      </c>
      <c r="L7" s="115">
        <v>1</v>
      </c>
    </row>
    <row r="8" spans="1:17" x14ac:dyDescent="0.3">
      <c r="A8" s="598"/>
      <c r="B8" s="126"/>
      <c r="C8" s="243" t="s">
        <v>823</v>
      </c>
      <c r="D8" s="244"/>
      <c r="E8" s="245"/>
      <c r="F8" s="245"/>
      <c r="G8" s="268"/>
      <c r="H8" s="140">
        <f>COUNTIFS(B:B,"=Critical",G:G,"=Function Available")</f>
        <v>0</v>
      </c>
    </row>
    <row r="9" spans="1:17" ht="30" customHeight="1" x14ac:dyDescent="0.3">
      <c r="A9" s="163" t="str">
        <f>IF(L9=1,"Livescan-"&amp;TEXT(COUNTIF($L$3:L9, "1"), "0"), "")</f>
        <v>Livescan-5</v>
      </c>
      <c r="B9" s="183" t="s">
        <v>43</v>
      </c>
      <c r="C9" s="254" t="s">
        <v>824</v>
      </c>
      <c r="D9" s="247"/>
      <c r="E9" s="248"/>
      <c r="F9" s="248"/>
      <c r="G9" s="249" t="s">
        <v>101</v>
      </c>
      <c r="H9" s="140">
        <f>COUNTIFS(B:B,"=Critical",G:G,"=Function Not Available")</f>
        <v>0</v>
      </c>
      <c r="I9" s="116">
        <f>IF(NOT(ISBLANK($B9)),VLOOKUP($B9,specdata,2,FALSE()),"")</f>
        <v>1</v>
      </c>
      <c r="J9" s="116">
        <f>VLOOKUP(G9,AvailabilityData,2,FALSE())</f>
        <v>0</v>
      </c>
      <c r="K9" s="116">
        <f>I9*J9</f>
        <v>0</v>
      </c>
      <c r="L9" s="115">
        <v>1</v>
      </c>
    </row>
    <row r="10" spans="1:17" ht="30" customHeight="1" x14ac:dyDescent="0.3">
      <c r="A10" s="163" t="str">
        <f>IF(L10=1,"Livescan-"&amp;TEXT(COUNTIF($L$3:L10, "1"), "0"), "")</f>
        <v>Livescan-6</v>
      </c>
      <c r="B10" s="133" t="s">
        <v>43</v>
      </c>
      <c r="C10" s="237" t="s">
        <v>825</v>
      </c>
      <c r="D10" s="241"/>
      <c r="E10" s="239"/>
      <c r="F10" s="239"/>
      <c r="G10" s="240" t="s">
        <v>101</v>
      </c>
      <c r="H10" s="140">
        <f>COUNTIFS(B:B,"=Critical",G:G,"=Exception")</f>
        <v>0</v>
      </c>
      <c r="I10" s="116">
        <f>IF(NOT(ISBLANK($B10)),VLOOKUP($B10,specdata,2,FALSE()),"")</f>
        <v>1</v>
      </c>
      <c r="J10" s="116">
        <f>VLOOKUP(G10,AvailabilityData,2,FALSE())</f>
        <v>0</v>
      </c>
      <c r="K10" s="116">
        <f>I10*J10</f>
        <v>0</v>
      </c>
      <c r="L10" s="115">
        <v>1</v>
      </c>
    </row>
    <row r="11" spans="1:17" ht="30" customHeight="1" x14ac:dyDescent="0.3">
      <c r="A11" s="163" t="str">
        <f>IF(L11=1,"Livescan-"&amp;TEXT(COUNTIF($L$3:L11, "1"), "0"), "")</f>
        <v>Livescan-7</v>
      </c>
      <c r="B11" s="169" t="s">
        <v>43</v>
      </c>
      <c r="C11" s="251" t="s">
        <v>826</v>
      </c>
      <c r="D11" s="252"/>
      <c r="E11" s="253"/>
      <c r="F11" s="253"/>
      <c r="G11" s="242" t="s">
        <v>101</v>
      </c>
      <c r="H11" s="146">
        <f>COUNTIFS(B:B,"=Important",G:G,"=Select from Drop Down List")</f>
        <v>19</v>
      </c>
      <c r="L11" s="115">
        <v>1</v>
      </c>
    </row>
    <row r="12" spans="1:17" x14ac:dyDescent="0.3">
      <c r="A12" s="598"/>
      <c r="B12" s="126"/>
      <c r="C12" s="243" t="s">
        <v>168</v>
      </c>
      <c r="D12" s="244"/>
      <c r="E12" s="245"/>
      <c r="F12" s="245"/>
      <c r="G12" s="268"/>
      <c r="H12" s="146">
        <f>COUNTIFS(B:B,"=Important",G:G,"=Function Available")</f>
        <v>0</v>
      </c>
    </row>
    <row r="13" spans="1:17" ht="30" customHeight="1" x14ac:dyDescent="0.3">
      <c r="A13" s="163" t="str">
        <f>IF(L13=1,"Livescan-"&amp;TEXT(COUNTIF($L$3:L13, "1"), "0"), "")</f>
        <v>Livescan-8</v>
      </c>
      <c r="B13" s="183" t="s">
        <v>43</v>
      </c>
      <c r="C13" s="254" t="s">
        <v>185</v>
      </c>
      <c r="D13" s="247"/>
      <c r="E13" s="248"/>
      <c r="F13" s="248"/>
      <c r="G13" s="249" t="s">
        <v>101</v>
      </c>
      <c r="H13" s="146">
        <f>COUNTIFS(B:B,"=Important",G:G,"=Function Not Available")</f>
        <v>0</v>
      </c>
      <c r="I13" s="116">
        <f>IF(NOT(ISBLANK($B13)),VLOOKUP($B13,specdata,2,FALSE()),"")</f>
        <v>1</v>
      </c>
      <c r="J13" s="116">
        <f>VLOOKUP(G13,AvailabilityData,2,FALSE())</f>
        <v>0</v>
      </c>
      <c r="K13" s="116">
        <f>I13*J13</f>
        <v>0</v>
      </c>
      <c r="L13" s="115">
        <v>1</v>
      </c>
    </row>
    <row r="14" spans="1:17" ht="30" customHeight="1" x14ac:dyDescent="0.3">
      <c r="A14" s="163" t="str">
        <f>IF(L14=1,"Livescan-"&amp;TEXT(COUNTIF($L$3:L14, "1"), "0"), "")</f>
        <v>Livescan-9</v>
      </c>
      <c r="B14" s="183" t="s">
        <v>43</v>
      </c>
      <c r="C14" s="250" t="s">
        <v>170</v>
      </c>
      <c r="D14" s="241"/>
      <c r="E14" s="239"/>
      <c r="F14" s="248"/>
      <c r="G14" s="137" t="s">
        <v>101</v>
      </c>
      <c r="H14" s="146">
        <f>COUNTIFS(B:B,"=Important",G:G,"=Exception")</f>
        <v>0</v>
      </c>
      <c r="I14" s="116">
        <f>IF(NOT(ISBLANK($B14)),VLOOKUP($B14,specdata,2,FALSE()),"")</f>
        <v>1</v>
      </c>
      <c r="J14" s="116">
        <f>VLOOKUP(G14,AvailabilityData,2,FALSE())</f>
        <v>0</v>
      </c>
      <c r="K14" s="116">
        <f>I14*J14</f>
        <v>0</v>
      </c>
      <c r="L14" s="115">
        <v>1</v>
      </c>
    </row>
    <row r="15" spans="1:17" ht="30" customHeight="1" x14ac:dyDescent="0.3">
      <c r="A15" s="163" t="str">
        <f>IF(L15=1,"Livescan-"&amp;TEXT(COUNTIF($L$3:L15, "1"), "0"), "")</f>
        <v>Livescan-10</v>
      </c>
      <c r="B15" s="169" t="s">
        <v>43</v>
      </c>
      <c r="C15" s="251" t="s">
        <v>827</v>
      </c>
      <c r="D15" s="252"/>
      <c r="E15" s="253"/>
      <c r="F15" s="253"/>
      <c r="G15" s="173" t="s">
        <v>101</v>
      </c>
      <c r="H15" s="147">
        <f>COUNTIFS(B:B,"=Informational",G:G,"=Select from Drop Down List")</f>
        <v>0</v>
      </c>
      <c r="I15" s="116">
        <f>IF(NOT(ISBLANK($B15)),VLOOKUP($B15,specdata,2,FALSE()),"")</f>
        <v>1</v>
      </c>
      <c r="J15" s="116">
        <f>VLOOKUP(G15,AvailabilityData,2,FALSE())</f>
        <v>0</v>
      </c>
      <c r="K15" s="116">
        <f>I15*J15</f>
        <v>0</v>
      </c>
      <c r="L15" s="115">
        <v>1</v>
      </c>
    </row>
    <row r="16" spans="1:17" x14ac:dyDescent="0.3">
      <c r="A16" s="598"/>
      <c r="B16" s="126"/>
      <c r="C16" s="243" t="s">
        <v>165</v>
      </c>
      <c r="D16" s="244"/>
      <c r="E16" s="245"/>
      <c r="F16" s="245"/>
      <c r="G16" s="268"/>
      <c r="H16" s="147">
        <f>COUNTIFS(B:B,"=Informational",G:G,"=Function Available")</f>
        <v>0</v>
      </c>
    </row>
    <row r="17" spans="1:12" ht="30" customHeight="1" x14ac:dyDescent="0.3">
      <c r="A17" s="163" t="str">
        <f>IF(L17=1,"Livescan-"&amp;TEXT(COUNTIF($L$3:L17, "1"), "0"), "")</f>
        <v>Livescan-11</v>
      </c>
      <c r="B17" s="183" t="s">
        <v>43</v>
      </c>
      <c r="C17" s="254" t="s">
        <v>208</v>
      </c>
      <c r="D17" s="247"/>
      <c r="E17" s="248"/>
      <c r="F17" s="248"/>
      <c r="G17" s="191" t="s">
        <v>101</v>
      </c>
      <c r="H17" s="147">
        <f>COUNTIFS(B:B,"=Informational",G:G,"=Function Not Available")</f>
        <v>0</v>
      </c>
      <c r="I17" s="116">
        <f>IF(NOT(ISBLANK($B17)),VLOOKUP($B17,specdata,2,FALSE()),"")</f>
        <v>1</v>
      </c>
      <c r="J17" s="116">
        <f>VLOOKUP(G17,AvailabilityData,2,FALSE())</f>
        <v>0</v>
      </c>
      <c r="K17" s="116">
        <f>I17*J17</f>
        <v>0</v>
      </c>
      <c r="L17" s="115">
        <v>1</v>
      </c>
    </row>
    <row r="18" spans="1:12" ht="30" customHeight="1" x14ac:dyDescent="0.3">
      <c r="A18" s="163" t="str">
        <f>IF(L18=1,"Livescan-"&amp;TEXT(COUNTIF($L$3:L18, "1"), "0"), "")</f>
        <v>Livescan-12</v>
      </c>
      <c r="B18" s="133" t="s">
        <v>43</v>
      </c>
      <c r="C18" s="237" t="s">
        <v>828</v>
      </c>
      <c r="D18" s="241"/>
      <c r="E18" s="239"/>
      <c r="F18" s="239"/>
      <c r="G18" s="166" t="s">
        <v>101</v>
      </c>
      <c r="H18" s="147">
        <f>COUNTIFS(B:B,"=Informational",G:G,"=Exception")</f>
        <v>0</v>
      </c>
      <c r="I18" s="116">
        <f>IF(NOT(ISBLANK($B18)),VLOOKUP($B18,specdata,2,FALSE()),"")</f>
        <v>1</v>
      </c>
      <c r="J18" s="116">
        <f>VLOOKUP(G18,AvailabilityData,2,FALSE())</f>
        <v>0</v>
      </c>
      <c r="K18" s="116">
        <f>I18*J18</f>
        <v>0</v>
      </c>
      <c r="L18" s="115">
        <v>1</v>
      </c>
    </row>
    <row r="19" spans="1:12" ht="30" customHeight="1" x14ac:dyDescent="0.3">
      <c r="A19" s="163" t="str">
        <f>IF(L19=1,"Livescan-"&amp;TEXT(COUNTIF($L$3:L19, "1"), "0"), "")</f>
        <v>Livescan-13</v>
      </c>
      <c r="B19" s="133" t="s">
        <v>43</v>
      </c>
      <c r="C19" s="237" t="s">
        <v>829</v>
      </c>
      <c r="D19" s="241"/>
      <c r="E19" s="239"/>
      <c r="F19" s="239"/>
      <c r="G19" s="166" t="s">
        <v>101</v>
      </c>
      <c r="I19" s="116">
        <f>IF(NOT(ISBLANK($B19)),VLOOKUP($B19,specdata,2,FALSE()),"")</f>
        <v>1</v>
      </c>
      <c r="J19" s="116">
        <f>VLOOKUP(G19,AvailabilityData,2,FALSE())</f>
        <v>0</v>
      </c>
      <c r="K19" s="116">
        <f>I19*J19</f>
        <v>0</v>
      </c>
      <c r="L19" s="115">
        <v>1</v>
      </c>
    </row>
    <row r="20" spans="1:12" ht="30" customHeight="1" x14ac:dyDescent="0.3">
      <c r="A20" s="163" t="str">
        <f>IF(L20=1,"Livescan-"&amp;TEXT(COUNTIF($L$3:L20, "1"), "0"), "")</f>
        <v>Livescan-14</v>
      </c>
      <c r="B20" s="133" t="s">
        <v>43</v>
      </c>
      <c r="C20" s="237" t="s">
        <v>210</v>
      </c>
      <c r="D20" s="241"/>
      <c r="E20" s="239"/>
      <c r="F20" s="239"/>
      <c r="G20" s="166" t="s">
        <v>101</v>
      </c>
      <c r="I20" s="116">
        <f>IF(NOT(ISBLANK($B20)),VLOOKUP($B20,specdata,2,FALSE()),"")</f>
        <v>1</v>
      </c>
      <c r="J20" s="116">
        <f>VLOOKUP(G20,AvailabilityData,2,FALSE())</f>
        <v>0</v>
      </c>
      <c r="K20" s="116">
        <f>I20*J20</f>
        <v>0</v>
      </c>
      <c r="L20" s="115">
        <v>1</v>
      </c>
    </row>
    <row r="21" spans="1:12" ht="30" customHeight="1" x14ac:dyDescent="0.3">
      <c r="A21" s="163" t="str">
        <f>IF(L21=1,"Livescan-"&amp;TEXT(COUNTIF($L$3:L21, "1"), "0"), "")</f>
        <v>Livescan-15</v>
      </c>
      <c r="B21" s="169" t="s">
        <v>43</v>
      </c>
      <c r="C21" s="251" t="s">
        <v>211</v>
      </c>
      <c r="D21" s="252"/>
      <c r="E21" s="253"/>
      <c r="F21" s="253"/>
      <c r="G21" s="173" t="s">
        <v>101</v>
      </c>
      <c r="I21" s="116">
        <f>IF(NOT(ISBLANK($B21)),VLOOKUP($B21,specdata,2,FALSE()),"")</f>
        <v>1</v>
      </c>
      <c r="J21" s="116">
        <f>VLOOKUP(G21,AvailabilityData,2,FALSE())</f>
        <v>0</v>
      </c>
      <c r="K21" s="116">
        <f>I21*J21</f>
        <v>0</v>
      </c>
      <c r="L21" s="115">
        <v>1</v>
      </c>
    </row>
    <row r="22" spans="1:12" x14ac:dyDescent="0.3">
      <c r="A22" s="598"/>
      <c r="B22" s="126"/>
      <c r="C22" s="243" t="s">
        <v>174</v>
      </c>
      <c r="D22" s="244"/>
      <c r="E22" s="245"/>
      <c r="F22" s="245"/>
      <c r="G22" s="268"/>
    </row>
    <row r="23" spans="1:12" ht="30" customHeight="1" x14ac:dyDescent="0.3">
      <c r="A23" s="163" t="str">
        <f>IF(L23=1,"Livescan-"&amp;TEXT(COUNTIF($L$3:L23, "1"), "0"), "")</f>
        <v>Livescan-16</v>
      </c>
      <c r="B23" s="183" t="s">
        <v>43</v>
      </c>
      <c r="C23" s="254" t="s">
        <v>258</v>
      </c>
      <c r="D23" s="247"/>
      <c r="E23" s="248"/>
      <c r="F23" s="248"/>
      <c r="G23" s="191" t="s">
        <v>101</v>
      </c>
      <c r="I23" s="116">
        <f>IF(NOT(ISBLANK($B23)),VLOOKUP($B23,specdata,2,FALSE()),"")</f>
        <v>1</v>
      </c>
      <c r="J23" s="116">
        <f>VLOOKUP(G23,AvailabilityData,2,FALSE())</f>
        <v>0</v>
      </c>
      <c r="K23" s="116">
        <f>I23*J23</f>
        <v>0</v>
      </c>
      <c r="L23" s="115">
        <v>1</v>
      </c>
    </row>
    <row r="24" spans="1:12" ht="46.8" x14ac:dyDescent="0.3">
      <c r="A24" s="163" t="str">
        <f>IF(L24=1,"Livescan-"&amp;TEXT(COUNTIF($L$3:L24, "1"), "0"), "")</f>
        <v>Livescan-17</v>
      </c>
      <c r="B24" s="133" t="s">
        <v>43</v>
      </c>
      <c r="C24" s="237" t="s">
        <v>830</v>
      </c>
      <c r="D24" s="241"/>
      <c r="E24" s="239"/>
      <c r="F24" s="239"/>
      <c r="G24" s="166" t="s">
        <v>101</v>
      </c>
      <c r="I24" s="116">
        <f>IF(NOT(ISBLANK($B24)),VLOOKUP($B24,specdata,2,FALSE()),"")</f>
        <v>1</v>
      </c>
      <c r="J24" s="116">
        <f>VLOOKUP(G24,AvailabilityData,2,FALSE())</f>
        <v>0</v>
      </c>
      <c r="K24" s="116">
        <f>I24*J24</f>
        <v>0</v>
      </c>
      <c r="L24" s="115">
        <v>1</v>
      </c>
    </row>
    <row r="25" spans="1:12" ht="46.8" x14ac:dyDescent="0.3">
      <c r="A25" s="163" t="str">
        <f>IF(L25=1,"Livescan-"&amp;TEXT(COUNTIF($L$3:L25, "1"), "0"), "")</f>
        <v>Livescan-18</v>
      </c>
      <c r="B25" s="133" t="s">
        <v>43</v>
      </c>
      <c r="C25" s="237" t="s">
        <v>193</v>
      </c>
      <c r="D25" s="241"/>
      <c r="E25" s="239"/>
      <c r="F25" s="239"/>
      <c r="G25" s="166" t="s">
        <v>101</v>
      </c>
      <c r="I25" s="116">
        <f>IF(NOT(ISBLANK($B25)),VLOOKUP($B25,specdata,2,FALSE()),"")</f>
        <v>1</v>
      </c>
      <c r="J25" s="116">
        <f>VLOOKUP(G25,AvailabilityData,2,FALSE())</f>
        <v>0</v>
      </c>
      <c r="K25" s="116">
        <f>I25*J25</f>
        <v>0</v>
      </c>
      <c r="L25" s="115">
        <v>1</v>
      </c>
    </row>
    <row r="26" spans="1:12" ht="30" customHeight="1" x14ac:dyDescent="0.3">
      <c r="A26" s="163" t="str">
        <f>IF(L26=1,"Livescan-"&amp;TEXT(COUNTIF($L$3:L26, "1"), "0"), "")</f>
        <v>Livescan-19</v>
      </c>
      <c r="B26" s="133" t="s">
        <v>43</v>
      </c>
      <c r="C26" s="237" t="s">
        <v>831</v>
      </c>
      <c r="D26" s="241"/>
      <c r="E26" s="239"/>
      <c r="F26" s="239"/>
      <c r="G26" s="166" t="s">
        <v>101</v>
      </c>
      <c r="I26" s="116">
        <f>IF(NOT(ISBLANK($B26)),VLOOKUP($B26,specdata,2,FALSE()),"")</f>
        <v>1</v>
      </c>
      <c r="J26" s="116">
        <f>VLOOKUP(G26,AvailabilityData,2,FALSE())</f>
        <v>0</v>
      </c>
      <c r="K26" s="116">
        <f>I26*J26</f>
        <v>0</v>
      </c>
      <c r="L26" s="115">
        <v>1</v>
      </c>
    </row>
    <row r="27" spans="1:12" ht="30" customHeight="1" x14ac:dyDescent="0.3">
      <c r="H27" s="115"/>
    </row>
    <row r="28" spans="1:12" ht="30" customHeight="1" x14ac:dyDescent="0.3">
      <c r="H28" s="115"/>
    </row>
    <row r="29" spans="1:12" ht="30" customHeight="1" x14ac:dyDescent="0.3">
      <c r="H29" s="115"/>
    </row>
    <row r="30" spans="1:12" ht="30" customHeight="1" x14ac:dyDescent="0.3">
      <c r="H30" s="115"/>
    </row>
    <row r="31" spans="1:12" ht="30" customHeight="1" x14ac:dyDescent="0.3">
      <c r="H31" s="115"/>
    </row>
    <row r="32" spans="1:12" ht="15" customHeight="1" x14ac:dyDescent="0.3">
      <c r="H32" s="115"/>
    </row>
    <row r="33" spans="8:8" ht="15" customHeight="1" x14ac:dyDescent="0.3">
      <c r="H33" s="115"/>
    </row>
    <row r="34" spans="8:8" ht="30" customHeight="1" x14ac:dyDescent="0.3">
      <c r="H34" s="115"/>
    </row>
    <row r="35" spans="8:8" ht="30" customHeight="1" x14ac:dyDescent="0.3">
      <c r="H35" s="115"/>
    </row>
    <row r="36" spans="8:8" ht="30" customHeight="1" x14ac:dyDescent="0.3">
      <c r="H36" s="115"/>
    </row>
    <row r="37" spans="8:8" ht="30" customHeight="1" x14ac:dyDescent="0.3">
      <c r="H37" s="115"/>
    </row>
    <row r="38" spans="8:8" ht="30" customHeight="1" x14ac:dyDescent="0.3">
      <c r="H38" s="115"/>
    </row>
    <row r="39" spans="8:8" ht="30" customHeight="1" x14ac:dyDescent="0.3">
      <c r="H39" s="115"/>
    </row>
    <row r="40" spans="8:8" ht="30" customHeight="1" x14ac:dyDescent="0.3">
      <c r="H40" s="115"/>
    </row>
    <row r="41" spans="8:8" ht="30" customHeight="1" x14ac:dyDescent="0.3">
      <c r="H41" s="115"/>
    </row>
    <row r="42" spans="8:8" ht="30" customHeight="1" x14ac:dyDescent="0.3">
      <c r="H42" s="115"/>
    </row>
    <row r="43" spans="8:8" ht="30" customHeight="1" x14ac:dyDescent="0.3">
      <c r="H43" s="115"/>
    </row>
    <row r="44" spans="8:8" ht="30" customHeight="1" x14ac:dyDescent="0.3"/>
    <row r="45" spans="8:8" ht="30" customHeight="1" x14ac:dyDescent="0.3"/>
    <row r="46" spans="8:8" ht="30" customHeight="1" x14ac:dyDescent="0.3"/>
    <row r="47" spans="8:8" ht="30" customHeight="1" x14ac:dyDescent="0.3"/>
    <row r="48" spans="8:8" ht="30" customHeight="1" x14ac:dyDescent="0.3"/>
    <row r="49" ht="30" customHeight="1" x14ac:dyDescent="0.3"/>
    <row r="50" ht="30" customHeight="1" x14ac:dyDescent="0.3"/>
    <row r="51" ht="30" customHeight="1" x14ac:dyDescent="0.3"/>
    <row r="52"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spans="4:4" ht="30" customHeight="1" x14ac:dyDescent="0.3"/>
    <row r="66" spans="4:4" ht="30" customHeight="1" x14ac:dyDescent="0.3"/>
    <row r="67" spans="4:4" ht="30" customHeight="1" x14ac:dyDescent="0.3"/>
    <row r="68" spans="4:4" ht="30" customHeight="1" x14ac:dyDescent="0.3"/>
    <row r="69" spans="4:4" ht="30" customHeight="1" x14ac:dyDescent="0.3"/>
    <row r="70" spans="4:4" ht="30" customHeight="1" x14ac:dyDescent="0.3"/>
    <row r="72" spans="4:4" ht="30" customHeight="1" x14ac:dyDescent="0.3">
      <c r="D72" s="262"/>
    </row>
    <row r="73" spans="4:4" ht="30" customHeight="1" x14ac:dyDescent="0.3">
      <c r="D73" s="262"/>
    </row>
    <row r="74" spans="4:4" ht="30" customHeight="1" x14ac:dyDescent="0.3">
      <c r="D74" s="262"/>
    </row>
    <row r="75" spans="4:4" ht="30" customHeight="1" x14ac:dyDescent="0.3"/>
    <row r="76" spans="4:4" ht="30" customHeight="1" x14ac:dyDescent="0.3">
      <c r="D76" s="355"/>
    </row>
    <row r="77" spans="4:4" ht="30" customHeight="1" x14ac:dyDescent="0.3">
      <c r="D77" s="355"/>
    </row>
    <row r="78" spans="4:4" ht="30" customHeight="1" x14ac:dyDescent="0.3">
      <c r="D78" s="355"/>
    </row>
    <row r="79" spans="4:4" ht="30" customHeight="1" x14ac:dyDescent="0.3">
      <c r="D79" s="355"/>
    </row>
    <row r="80" spans="4:4" ht="30" customHeight="1" x14ac:dyDescent="0.3">
      <c r="D80" s="355"/>
    </row>
    <row r="81" spans="4:4" ht="30" customHeight="1" x14ac:dyDescent="0.3">
      <c r="D81" s="355"/>
    </row>
    <row r="82" spans="4:4" ht="30" customHeight="1" x14ac:dyDescent="0.3">
      <c r="D82" s="355"/>
    </row>
    <row r="83" spans="4:4" ht="30" customHeight="1" x14ac:dyDescent="0.3">
      <c r="D83" s="355"/>
    </row>
    <row r="84" spans="4:4" ht="30" customHeight="1" x14ac:dyDescent="0.3">
      <c r="D84" s="262"/>
    </row>
    <row r="85" spans="4:4" ht="30" customHeight="1" x14ac:dyDescent="0.3">
      <c r="D85" s="262"/>
    </row>
    <row r="86" spans="4:4" ht="30" customHeight="1" x14ac:dyDescent="0.3">
      <c r="D86" s="262"/>
    </row>
    <row r="87" spans="4:4" ht="30" customHeight="1" x14ac:dyDescent="0.3">
      <c r="D87" s="262"/>
    </row>
    <row r="88" spans="4:4" ht="30" customHeight="1" x14ac:dyDescent="0.3">
      <c r="D88" s="355"/>
    </row>
    <row r="89" spans="4:4" ht="30" customHeight="1" x14ac:dyDescent="0.3">
      <c r="D89" s="355"/>
    </row>
    <row r="90" spans="4:4" ht="30" customHeight="1" x14ac:dyDescent="0.3">
      <c r="D90" s="355"/>
    </row>
    <row r="91" spans="4:4" ht="30" customHeight="1" x14ac:dyDescent="0.3">
      <c r="D91" s="355"/>
    </row>
    <row r="92" spans="4:4" ht="30" customHeight="1" x14ac:dyDescent="0.3">
      <c r="D92" s="355"/>
    </row>
    <row r="93" spans="4:4" ht="30" customHeight="1" x14ac:dyDescent="0.3">
      <c r="D93" s="355"/>
    </row>
    <row r="94" spans="4:4" ht="30" customHeight="1" x14ac:dyDescent="0.3">
      <c r="D94" s="355"/>
    </row>
    <row r="95" spans="4:4" ht="30" customHeight="1" x14ac:dyDescent="0.3">
      <c r="D95" s="355"/>
    </row>
    <row r="96" spans="4:4"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45"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59.25" customHeight="1" x14ac:dyDescent="0.3"/>
  </sheetData>
  <sheetProtection algorithmName="SHA-512" hashValue="RVSFcAdxrx+xaGCW3+sR0u0ad7EQ7H/P2xWs1Aqk4tT5+nEwfubNpwLNoSZEBZdrrIi/A6Qddn8jKWDelLmcmA==" saltValue="A59plZTbqWZkl+pjtu+/1A==" spinCount="100000" sheet="1" objects="1" scenarios="1"/>
  <mergeCells count="1">
    <mergeCell ref="O3:Q6"/>
  </mergeCells>
  <conditionalFormatting sqref="B1:B2">
    <cfRule type="cellIs" dxfId="173" priority="7" operator="equal">
      <formula>"Mandatory"</formula>
    </cfRule>
  </conditionalFormatting>
  <conditionalFormatting sqref="B1:B1048576">
    <cfRule type="cellIs" dxfId="172" priority="2" operator="equal">
      <formula>"Informational"</formula>
    </cfRule>
    <cfRule type="cellIs" dxfId="171" priority="3" operator="equal">
      <formula>"Critical"</formula>
    </cfRule>
    <cfRule type="cellIs" dxfId="170" priority="4" operator="equal">
      <formula>"Not Needed"</formula>
    </cfRule>
    <cfRule type="cellIs" dxfId="169" priority="5" operator="equal">
      <formula>"Extremely Advantageous"</formula>
    </cfRule>
  </conditionalFormatting>
  <conditionalFormatting sqref="G1:G1048576">
    <cfRule type="cellIs" dxfId="168" priority="6" operator="equal">
      <formula>"Exception"</formula>
    </cfRule>
  </conditionalFormatting>
  <conditionalFormatting sqref="G3:G26">
    <cfRule type="cellIs" dxfId="167" priority="8"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26" xr:uid="{00000000-0002-0000-1E00-000000000000}">
      <formula1>SpecType</formula1>
      <formula2>0</formula2>
    </dataValidation>
    <dataValidation type="list" allowBlank="1" showInputMessage="1" showErrorMessage="1" sqref="G3 G5:G7 G9:G11 G13:G15 G17:G21 G23:G26" xr:uid="{00000000-0002-0000-1E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D8E5B1"/>
    <pageSetUpPr fitToPage="1"/>
  </sheetPr>
  <dimension ref="A1:P179"/>
  <sheetViews>
    <sheetView topLeftCell="B1" zoomScaleNormal="100" zoomScalePageLayoutView="80" workbookViewId="0">
      <selection activeCell="G1" sqref="G1"/>
    </sheetView>
  </sheetViews>
  <sheetFormatPr defaultColWidth="9" defaultRowHeight="15.6" x14ac:dyDescent="0.3"/>
  <cols>
    <col min="1" max="1" width="12.59765625" style="113" customWidth="1"/>
    <col min="2" max="2" width="14.59765625" style="113" customWidth="1"/>
    <col min="3" max="3" width="65.59765625" style="261" customWidth="1"/>
    <col min="4" max="4" width="65.59765625" style="115" customWidth="1"/>
    <col min="5" max="5" width="10.59765625" style="115" hidden="1" customWidth="1"/>
    <col min="6" max="6" width="6.59765625" style="115" hidden="1" customWidth="1"/>
    <col min="7" max="7" width="30.59765625" style="115" customWidth="1"/>
    <col min="8" max="11" width="8.59765625" style="116" customWidth="1"/>
    <col min="12" max="16384" width="9" style="115"/>
  </cols>
  <sheetData>
    <row r="1" spans="1:16" s="124" customFormat="1" ht="105" customHeight="1" x14ac:dyDescent="0.25">
      <c r="A1" s="158" t="s">
        <v>102</v>
      </c>
      <c r="B1" s="158" t="s">
        <v>103</v>
      </c>
      <c r="C1" s="158" t="str">
        <f>'Support Data'!A18</f>
        <v>Specifications</v>
      </c>
      <c r="D1" s="159" t="str">
        <f>'Support Data'!$A$19</f>
        <v>Contractor Work Area</v>
      </c>
      <c r="E1" s="159" t="str">
        <f>'Support Data'!A20</f>
        <v>Def ID</v>
      </c>
      <c r="F1" s="160" t="s">
        <v>78</v>
      </c>
      <c r="G1" s="159" t="str">
        <f>'Support Data'!A22</f>
        <v>Availability</v>
      </c>
      <c r="H1" s="123" t="str">
        <f>'Support Data'!A24</f>
        <v>Summary</v>
      </c>
      <c r="I1" s="123" t="str">
        <f>'Support Data'!A25</f>
        <v>Spec Weight</v>
      </c>
      <c r="J1" s="123" t="str">
        <f>'Support Data'!A26</f>
        <v>Avail Weight</v>
      </c>
      <c r="K1" s="123" t="str">
        <f>'Support Data'!A27</f>
        <v>Score</v>
      </c>
      <c r="L1" s="123" t="s">
        <v>104</v>
      </c>
    </row>
    <row r="2" spans="1:16" x14ac:dyDescent="0.3">
      <c r="A2" s="125" t="s">
        <v>17</v>
      </c>
      <c r="B2" s="161"/>
      <c r="C2" s="178"/>
      <c r="D2" s="128"/>
      <c r="E2" s="130"/>
      <c r="F2" s="130"/>
      <c r="G2" s="268"/>
      <c r="H2" s="131">
        <f>COUNTA(B3:B32)</f>
        <v>26</v>
      </c>
      <c r="K2" s="116">
        <f>SUM(K3:K32)</f>
        <v>0</v>
      </c>
    </row>
    <row r="3" spans="1:16" ht="29.4" customHeight="1" x14ac:dyDescent="0.3">
      <c r="A3" s="318" t="str">
        <f>IF(L3=1,"N-DEx-"&amp;TEXT(COUNTIF($L$3:L3, "1"), "0"), "")</f>
        <v>N-DEx-1</v>
      </c>
      <c r="B3" s="260" t="s">
        <v>43</v>
      </c>
      <c r="C3" s="319" t="s">
        <v>832</v>
      </c>
      <c r="D3" s="171"/>
      <c r="E3" s="172"/>
      <c r="F3" s="272"/>
      <c r="G3" s="230" t="s">
        <v>101</v>
      </c>
      <c r="H3" s="131">
        <f>COUNTIF(G:G,"=Select from Drop Down List")</f>
        <v>26</v>
      </c>
      <c r="I3" s="116">
        <f>IF(NOT(ISBLANK($B3)),VLOOKUP($B3,specdata,2,FALSE()),"")</f>
        <v>1</v>
      </c>
      <c r="J3" s="116">
        <f>VLOOKUP(G3,AvailabilityData,2,FALSE())</f>
        <v>0</v>
      </c>
      <c r="K3" s="116">
        <f>I3*J3</f>
        <v>0</v>
      </c>
      <c r="L3" s="115">
        <v>1</v>
      </c>
      <c r="N3" s="858" t="s">
        <v>107</v>
      </c>
      <c r="O3" s="858"/>
      <c r="P3" s="858"/>
    </row>
    <row r="4" spans="1:16" ht="31.2" x14ac:dyDescent="0.3">
      <c r="A4" s="316"/>
      <c r="B4" s="126"/>
      <c r="C4" s="178" t="s">
        <v>833</v>
      </c>
      <c r="D4" s="179"/>
      <c r="E4" s="180"/>
      <c r="F4" s="181"/>
      <c r="G4" s="182"/>
      <c r="H4" s="131">
        <f>COUNTIF(G:G,"=Function Available")</f>
        <v>0</v>
      </c>
      <c r="N4" s="858"/>
      <c r="O4" s="858"/>
      <c r="P4" s="858"/>
    </row>
    <row r="5" spans="1:16" ht="30" customHeight="1" x14ac:dyDescent="0.3">
      <c r="A5" s="318" t="str">
        <f>IF(L5=1,"N-DEx-"&amp;TEXT(COUNTIF($L$3:L5, "1"), "0"), "")</f>
        <v>N-DEx-2</v>
      </c>
      <c r="B5" s="183" t="s">
        <v>43</v>
      </c>
      <c r="C5" s="278" t="s">
        <v>834</v>
      </c>
      <c r="D5" s="270"/>
      <c r="E5" s="186"/>
      <c r="F5" s="191"/>
      <c r="G5" s="187" t="s">
        <v>101</v>
      </c>
      <c r="H5" s="131">
        <f>COUNTIF(F:G,"=Function Not Available")</f>
        <v>0</v>
      </c>
      <c r="I5" s="116">
        <f>IF(NOT(ISBLANK($B5)),VLOOKUP($B5,specdata,2,FALSE()),"")</f>
        <v>1</v>
      </c>
      <c r="J5" s="116">
        <f>VLOOKUP(G5,AvailabilityData,2,FALSE())</f>
        <v>0</v>
      </c>
      <c r="K5" s="116">
        <f>I5*J5</f>
        <v>0</v>
      </c>
      <c r="L5" s="115">
        <v>1</v>
      </c>
      <c r="N5" s="858"/>
      <c r="O5" s="858"/>
      <c r="P5" s="858"/>
    </row>
    <row r="6" spans="1:16" ht="30" customHeight="1" x14ac:dyDescent="0.3">
      <c r="A6" s="318" t="str">
        <f>IF(L6=1,"N-DEx-"&amp;TEXT(COUNTIF($L$3:L6, "1"), "0"), "")</f>
        <v>N-DEx-3</v>
      </c>
      <c r="B6" s="183" t="s">
        <v>43</v>
      </c>
      <c r="C6" s="154" t="s">
        <v>835</v>
      </c>
      <c r="D6" s="270"/>
      <c r="E6" s="186"/>
      <c r="F6" s="166"/>
      <c r="G6" s="137" t="s">
        <v>101</v>
      </c>
      <c r="H6" s="131">
        <f>COUNTIF(G:G,"=Exception")</f>
        <v>0</v>
      </c>
      <c r="I6" s="116">
        <f>IF(NOT(ISBLANK($B6)),VLOOKUP($B6,specdata,2,FALSE()),"")</f>
        <v>1</v>
      </c>
      <c r="J6" s="116">
        <f>VLOOKUP(G6,AvailabilityData,2,FALSE())</f>
        <v>0</v>
      </c>
      <c r="K6" s="116">
        <f>I6*J6</f>
        <v>0</v>
      </c>
      <c r="L6" s="115">
        <v>1</v>
      </c>
      <c r="N6" s="858"/>
      <c r="O6" s="858"/>
      <c r="P6" s="858"/>
    </row>
    <row r="7" spans="1:16" ht="30" customHeight="1" x14ac:dyDescent="0.3">
      <c r="A7" s="318" t="str">
        <f>IF(L7=1,"N-DEx-"&amp;TEXT(COUNTIF($L$3:L7, "1"), "0"), "")</f>
        <v>N-DEx-4</v>
      </c>
      <c r="B7" s="260" t="s">
        <v>43</v>
      </c>
      <c r="C7" s="273" t="s">
        <v>836</v>
      </c>
      <c r="D7" s="171"/>
      <c r="E7" s="172"/>
      <c r="F7" s="173"/>
      <c r="G7" s="137" t="s">
        <v>101</v>
      </c>
      <c r="H7" s="140">
        <f>COUNTIFS(B:B,"=Critical",G:G,"=Select from Drop Down List")</f>
        <v>0</v>
      </c>
      <c r="I7" s="116">
        <f>IF(NOT(ISBLANK($B7)),VLOOKUP($B7,specdata,2,FALSE()),"")</f>
        <v>1</v>
      </c>
      <c r="J7" s="116">
        <f>VLOOKUP(G7,AvailabilityData,2,FALSE())</f>
        <v>0</v>
      </c>
      <c r="K7" s="116">
        <f>I7*J7</f>
        <v>0</v>
      </c>
      <c r="L7" s="115">
        <v>1</v>
      </c>
    </row>
    <row r="8" spans="1:16" ht="30" customHeight="1" x14ac:dyDescent="0.3">
      <c r="A8" s="318" t="str">
        <f>IF(L8=1,"N-DEx-"&amp;TEXT(COUNTIF($L$3:L8, "1"), "0"), "")</f>
        <v>N-DEx-5</v>
      </c>
      <c r="B8" s="133" t="s">
        <v>43</v>
      </c>
      <c r="C8" s="154" t="s">
        <v>837</v>
      </c>
      <c r="D8" s="153"/>
      <c r="E8" s="168"/>
      <c r="F8" s="137"/>
      <c r="G8" s="240" t="s">
        <v>101</v>
      </c>
      <c r="H8" s="140">
        <f>COUNTIFS(B:B,"=Critical",G:G,"=Function Available")</f>
        <v>0</v>
      </c>
      <c r="I8" s="116">
        <f>IF(NOT(ISBLANK($B8)),VLOOKUP($B8,specdata,2,FALSE()),"")</f>
        <v>1</v>
      </c>
      <c r="J8" s="116">
        <f>VLOOKUP(G8,AvailabilityData,2,FALSE())</f>
        <v>0</v>
      </c>
      <c r="K8" s="116">
        <f>I8*J8</f>
        <v>0</v>
      </c>
      <c r="L8" s="115">
        <v>1</v>
      </c>
    </row>
    <row r="9" spans="1:16" ht="30" customHeight="1" x14ac:dyDescent="0.3">
      <c r="A9" s="318" t="str">
        <f>IF(L9=1,"N-DEx-"&amp;TEXT(COUNTIF($L$3:L9, "1"), "0"), "")</f>
        <v>N-DEx-6</v>
      </c>
      <c r="B9" s="133" t="s">
        <v>43</v>
      </c>
      <c r="C9" s="154" t="s">
        <v>838</v>
      </c>
      <c r="D9" s="153"/>
      <c r="E9" s="168"/>
      <c r="F9" s="137"/>
      <c r="G9" s="240" t="s">
        <v>101</v>
      </c>
      <c r="H9" s="140">
        <f>COUNTIFS(B:B,"=Critical",G:G,"=Function Not Available")</f>
        <v>0</v>
      </c>
      <c r="I9" s="116">
        <f>IF(NOT(ISBLANK($B9)),VLOOKUP($B9,specdata,2,FALSE()),"")</f>
        <v>1</v>
      </c>
      <c r="J9" s="116">
        <f>VLOOKUP(G9,AvailabilityData,2,FALSE())</f>
        <v>0</v>
      </c>
      <c r="K9" s="116">
        <f>I9*J9</f>
        <v>0</v>
      </c>
      <c r="L9" s="115">
        <v>1</v>
      </c>
    </row>
    <row r="10" spans="1:16" ht="30" customHeight="1" x14ac:dyDescent="0.3">
      <c r="A10" s="318" t="str">
        <f>IF(L10=1,"N-DEx-"&amp;TEXT(COUNTIF($L$3:L10, "1"), "0"), "")</f>
        <v>N-DEx-7</v>
      </c>
      <c r="B10" s="133" t="s">
        <v>43</v>
      </c>
      <c r="C10" s="154" t="s">
        <v>839</v>
      </c>
      <c r="D10" s="153"/>
      <c r="E10" s="168"/>
      <c r="F10" s="137"/>
      <c r="G10" s="242" t="s">
        <v>101</v>
      </c>
      <c r="H10" s="140">
        <f>COUNTIFS(B:B,"=Critical",G:G,"=Exception")</f>
        <v>0</v>
      </c>
      <c r="L10" s="115">
        <v>1</v>
      </c>
    </row>
    <row r="11" spans="1:16" ht="30" customHeight="1" x14ac:dyDescent="0.3">
      <c r="A11" s="318" t="str">
        <f>IF(L11=1,"N-DEx-"&amp;TEXT(COUNTIF($L$3:L11, "1"), "0"), "")</f>
        <v>N-DEx-8</v>
      </c>
      <c r="B11" s="133" t="s">
        <v>43</v>
      </c>
      <c r="C11" s="154" t="s">
        <v>840</v>
      </c>
      <c r="D11" s="153"/>
      <c r="E11" s="168"/>
      <c r="F11" s="137"/>
      <c r="G11" s="242" t="s">
        <v>101</v>
      </c>
      <c r="H11" s="146">
        <f>COUNTIFS(B:B,"=Important",G:G,"=Select from Drop Down List")</f>
        <v>26</v>
      </c>
      <c r="I11" s="116">
        <f>IF(NOT(ISBLANK($B11)),VLOOKUP($B11,specdata,2,FALSE()),"")</f>
        <v>1</v>
      </c>
      <c r="J11" s="116">
        <f>VLOOKUP(G11,AvailabilityData,2,FALSE())</f>
        <v>0</v>
      </c>
      <c r="K11" s="116">
        <f>I11*J11</f>
        <v>0</v>
      </c>
      <c r="L11" s="115">
        <v>1</v>
      </c>
    </row>
    <row r="12" spans="1:16" ht="30" customHeight="1" x14ac:dyDescent="0.3">
      <c r="A12" s="318" t="str">
        <f>IF(L12=1,"N-DEx-"&amp;TEXT(COUNTIF($L$3:L12, "1"), "0"), "")</f>
        <v>N-DEx-9</v>
      </c>
      <c r="B12" s="133" t="s">
        <v>43</v>
      </c>
      <c r="C12" s="164" t="s">
        <v>841</v>
      </c>
      <c r="D12" s="153"/>
      <c r="E12" s="168"/>
      <c r="F12" s="137"/>
      <c r="G12" s="249" t="s">
        <v>101</v>
      </c>
      <c r="H12" s="146">
        <f>COUNTIFS(B:B,"=Important",G:G,"=Function Available")</f>
        <v>0</v>
      </c>
      <c r="I12" s="116">
        <f>IF(NOT(ISBLANK($B12)),VLOOKUP($B12,specdata,2,FALSE()),"")</f>
        <v>1</v>
      </c>
      <c r="J12" s="116">
        <f>VLOOKUP(G12,AvailabilityData,2,FALSE())</f>
        <v>0</v>
      </c>
      <c r="K12" s="116">
        <f>I12*J12</f>
        <v>0</v>
      </c>
      <c r="L12" s="115">
        <v>1</v>
      </c>
    </row>
    <row r="13" spans="1:16" ht="30" customHeight="1" x14ac:dyDescent="0.3">
      <c r="A13" s="318" t="str">
        <f>IF(L13=1,"N-DEx-"&amp;TEXT(COUNTIF($L$3:L13, "1"), "0"), "")</f>
        <v>N-DEx-10</v>
      </c>
      <c r="B13" s="183" t="s">
        <v>43</v>
      </c>
      <c r="C13" s="184" t="s">
        <v>842</v>
      </c>
      <c r="D13" s="270"/>
      <c r="E13" s="186"/>
      <c r="F13" s="191"/>
      <c r="G13" s="137" t="s">
        <v>101</v>
      </c>
      <c r="H13" s="146">
        <f>COUNTIFS(B:B,"=Important",G:G,"=Function Not Available")</f>
        <v>0</v>
      </c>
      <c r="I13" s="116">
        <f>IF(NOT(ISBLANK($B13)),VLOOKUP($B13,specdata,2,FALSE()),"")</f>
        <v>1</v>
      </c>
      <c r="J13" s="116">
        <f>VLOOKUP(G13,AvailabilityData,2,FALSE())</f>
        <v>0</v>
      </c>
      <c r="K13" s="116">
        <f>I13*J13</f>
        <v>0</v>
      </c>
      <c r="L13" s="115">
        <v>1</v>
      </c>
    </row>
    <row r="14" spans="1:16" ht="46.8" x14ac:dyDescent="0.3">
      <c r="A14" s="318" t="str">
        <f>IF(L14=1,"N-DEx-"&amp;TEXT(COUNTIF($L$3:L14, "1"), "0"), "")</f>
        <v>N-DEx-11</v>
      </c>
      <c r="B14" s="260" t="s">
        <v>43</v>
      </c>
      <c r="C14" s="170" t="s">
        <v>843</v>
      </c>
      <c r="D14" s="171"/>
      <c r="E14" s="172"/>
      <c r="F14" s="173"/>
      <c r="G14" s="176" t="s">
        <v>101</v>
      </c>
      <c r="H14" s="146">
        <f>COUNTIFS(B:B,"=Important",G:G,"=Exception")</f>
        <v>0</v>
      </c>
      <c r="I14" s="116">
        <f>IF(NOT(ISBLANK($B14)),VLOOKUP($B14,specdata,2,FALSE()),"")</f>
        <v>1</v>
      </c>
      <c r="J14" s="116">
        <f>VLOOKUP(G14,AvailabilityData,2,FALSE())</f>
        <v>0</v>
      </c>
      <c r="K14" s="116">
        <f>I14*J14</f>
        <v>0</v>
      </c>
      <c r="L14" s="115">
        <v>1</v>
      </c>
    </row>
    <row r="15" spans="1:16" x14ac:dyDescent="0.3">
      <c r="A15" s="316"/>
      <c r="B15" s="126"/>
      <c r="C15" s="193" t="s">
        <v>168</v>
      </c>
      <c r="D15" s="179"/>
      <c r="E15" s="180"/>
      <c r="F15" s="181"/>
      <c r="G15" s="182"/>
      <c r="H15" s="147">
        <f>COUNTIFS(B:B,"=Informational",G:G,"=Select from Drop Down List")</f>
        <v>0</v>
      </c>
    </row>
    <row r="16" spans="1:16" ht="30" customHeight="1" x14ac:dyDescent="0.3">
      <c r="A16" s="318" t="str">
        <f>IF(L16=1,"N-DEx-"&amp;TEXT(COUNTIF($L$3:L16, "1"), "0"), "")</f>
        <v>N-DEx-12</v>
      </c>
      <c r="B16" s="183" t="s">
        <v>43</v>
      </c>
      <c r="C16" s="184" t="s">
        <v>185</v>
      </c>
      <c r="D16" s="270"/>
      <c r="E16" s="186"/>
      <c r="F16" s="191"/>
      <c r="G16" s="187" t="s">
        <v>101</v>
      </c>
      <c r="H16" s="147">
        <f>COUNTIFS(B:B,"=Informational",G:G,"=Function Available")</f>
        <v>0</v>
      </c>
      <c r="I16" s="116">
        <f t="shared" ref="I16:I22" si="0">IF(NOT(ISBLANK($B16)),VLOOKUP($B16,specdata,2,FALSE()),"")</f>
        <v>1</v>
      </c>
      <c r="J16" s="116">
        <f t="shared" ref="J16:J22" si="1">VLOOKUP(G16,AvailabilityData,2,FALSE())</f>
        <v>0</v>
      </c>
      <c r="K16" s="116">
        <f t="shared" ref="K16:K22" si="2">I16*J16</f>
        <v>0</v>
      </c>
      <c r="L16" s="115">
        <v>1</v>
      </c>
    </row>
    <row r="17" spans="1:12" ht="30" customHeight="1" x14ac:dyDescent="0.3">
      <c r="A17" s="318" t="str">
        <f>IF(L17=1,"N-DEx-"&amp;TEXT(COUNTIF($L$3:L17, "1"), "0"), "")</f>
        <v>N-DEx-13</v>
      </c>
      <c r="B17" s="183" t="s">
        <v>43</v>
      </c>
      <c r="C17" s="154" t="s">
        <v>170</v>
      </c>
      <c r="D17" s="270"/>
      <c r="E17" s="186"/>
      <c r="F17" s="166"/>
      <c r="G17" s="137" t="s">
        <v>101</v>
      </c>
      <c r="H17" s="147">
        <f>COUNTIFS(B:B,"=Informational",G:G,"=Function Not Available")</f>
        <v>0</v>
      </c>
      <c r="I17" s="116">
        <f t="shared" si="0"/>
        <v>1</v>
      </c>
      <c r="J17" s="116">
        <f t="shared" si="1"/>
        <v>0</v>
      </c>
      <c r="K17" s="116">
        <f t="shared" si="2"/>
        <v>0</v>
      </c>
      <c r="L17" s="115">
        <v>1</v>
      </c>
    </row>
    <row r="18" spans="1:12" ht="30" customHeight="1" x14ac:dyDescent="0.3">
      <c r="A18" s="318" t="str">
        <f>IF(L18=1,"N-DEx-"&amp;TEXT(COUNTIF($L$3:L18, "1"), "0"), "")</f>
        <v>N-DEx-14</v>
      </c>
      <c r="B18" s="183" t="s">
        <v>43</v>
      </c>
      <c r="C18" s="154" t="s">
        <v>171</v>
      </c>
      <c r="D18" s="270"/>
      <c r="E18" s="186"/>
      <c r="F18" s="166"/>
      <c r="G18" s="137" t="s">
        <v>101</v>
      </c>
      <c r="H18" s="147">
        <f>COUNTIFS(B:B,"=Informational",G:G,"=Exception")</f>
        <v>0</v>
      </c>
      <c r="I18" s="116">
        <f t="shared" si="0"/>
        <v>1</v>
      </c>
      <c r="J18" s="116">
        <f t="shared" si="1"/>
        <v>0</v>
      </c>
      <c r="K18" s="116">
        <f t="shared" si="2"/>
        <v>0</v>
      </c>
      <c r="L18" s="115">
        <v>1</v>
      </c>
    </row>
    <row r="19" spans="1:12" ht="30" customHeight="1" x14ac:dyDescent="0.3">
      <c r="A19" s="318" t="str">
        <f>IF(L19=1,"N-DEx-"&amp;TEXT(COUNTIF($L$3:L19, "1"), "0"), "")</f>
        <v>N-DEx-15</v>
      </c>
      <c r="B19" s="183" t="s">
        <v>43</v>
      </c>
      <c r="C19" s="154" t="s">
        <v>172</v>
      </c>
      <c r="D19" s="270"/>
      <c r="E19" s="186"/>
      <c r="F19" s="166"/>
      <c r="G19" s="137" t="s">
        <v>101</v>
      </c>
      <c r="I19" s="116">
        <f t="shared" si="0"/>
        <v>1</v>
      </c>
      <c r="J19" s="116">
        <f t="shared" si="1"/>
        <v>0</v>
      </c>
      <c r="K19" s="116">
        <f t="shared" si="2"/>
        <v>0</v>
      </c>
      <c r="L19" s="115">
        <v>1</v>
      </c>
    </row>
    <row r="20" spans="1:12" ht="30" customHeight="1" x14ac:dyDescent="0.3">
      <c r="A20" s="318" t="str">
        <f>IF(L20=1,"N-DEx-"&amp;TEXT(COUNTIF($L$3:L20, "1"), "0"), "")</f>
        <v>N-DEx-16</v>
      </c>
      <c r="B20" s="183" t="s">
        <v>43</v>
      </c>
      <c r="C20" s="164" t="s">
        <v>255</v>
      </c>
      <c r="D20" s="270"/>
      <c r="E20" s="186"/>
      <c r="F20" s="166"/>
      <c r="G20" s="137" t="s">
        <v>101</v>
      </c>
      <c r="I20" s="116">
        <f t="shared" si="0"/>
        <v>1</v>
      </c>
      <c r="J20" s="116">
        <f t="shared" si="1"/>
        <v>0</v>
      </c>
      <c r="K20" s="116">
        <f t="shared" si="2"/>
        <v>0</v>
      </c>
      <c r="L20" s="115">
        <v>1</v>
      </c>
    </row>
    <row r="21" spans="1:12" ht="52.5" customHeight="1" x14ac:dyDescent="0.3">
      <c r="A21" s="318" t="str">
        <f>IF(L21=1,"N-DEx-"&amp;TEXT(COUNTIF($L$3:L21, "1"), "0"), "")</f>
        <v>N-DEx-17</v>
      </c>
      <c r="B21" s="183" t="s">
        <v>43</v>
      </c>
      <c r="C21" s="164" t="s">
        <v>844</v>
      </c>
      <c r="D21" s="270"/>
      <c r="E21" s="186"/>
      <c r="F21" s="166"/>
      <c r="G21" s="137" t="s">
        <v>101</v>
      </c>
      <c r="I21" s="116">
        <f t="shared" si="0"/>
        <v>1</v>
      </c>
      <c r="J21" s="116">
        <f t="shared" si="1"/>
        <v>0</v>
      </c>
      <c r="K21" s="116">
        <f t="shared" si="2"/>
        <v>0</v>
      </c>
      <c r="L21" s="115">
        <v>1</v>
      </c>
    </row>
    <row r="22" spans="1:12" ht="30" customHeight="1" x14ac:dyDescent="0.3">
      <c r="A22" s="318" t="str">
        <f>IF(L22=1,"N-DEx-"&amp;TEXT(COUNTIF($L$3:L22, "1"), "0"), "")</f>
        <v>N-DEx-18</v>
      </c>
      <c r="B22" s="260" t="s">
        <v>43</v>
      </c>
      <c r="C22" s="170" t="s">
        <v>207</v>
      </c>
      <c r="D22" s="171"/>
      <c r="E22" s="172"/>
      <c r="F22" s="173"/>
      <c r="G22" s="176" t="s">
        <v>101</v>
      </c>
      <c r="I22" s="116">
        <f t="shared" si="0"/>
        <v>1</v>
      </c>
      <c r="J22" s="116">
        <f t="shared" si="1"/>
        <v>0</v>
      </c>
      <c r="K22" s="116">
        <f t="shared" si="2"/>
        <v>0</v>
      </c>
      <c r="L22" s="115">
        <v>1</v>
      </c>
    </row>
    <row r="23" spans="1:12" x14ac:dyDescent="0.3">
      <c r="A23" s="316"/>
      <c r="B23" s="126"/>
      <c r="C23" s="193" t="s">
        <v>165</v>
      </c>
      <c r="D23" s="179"/>
      <c r="E23" s="180"/>
      <c r="F23" s="181"/>
      <c r="G23" s="182"/>
    </row>
    <row r="24" spans="1:12" ht="30" customHeight="1" x14ac:dyDescent="0.3">
      <c r="A24" s="318" t="str">
        <f>IF(L24=1,"N-DEx-"&amp;TEXT(COUNTIF($L$3:L24, "1"), "0"), "")</f>
        <v>N-DEx-19</v>
      </c>
      <c r="B24" s="183" t="s">
        <v>43</v>
      </c>
      <c r="C24" s="184" t="s">
        <v>208</v>
      </c>
      <c r="D24" s="185"/>
      <c r="E24" s="186"/>
      <c r="F24" s="191"/>
      <c r="G24" s="187" t="s">
        <v>101</v>
      </c>
      <c r="I24" s="116">
        <f>IF(NOT(ISBLANK($B24)),VLOOKUP($B24,specdata,2,FALSE()),"")</f>
        <v>1</v>
      </c>
      <c r="J24" s="116">
        <f>VLOOKUP(G24,AvailabilityData,2,FALSE())</f>
        <v>0</v>
      </c>
      <c r="K24" s="116">
        <f>I24*J24</f>
        <v>0</v>
      </c>
      <c r="L24" s="115">
        <v>1</v>
      </c>
    </row>
    <row r="25" spans="1:12" ht="30" customHeight="1" x14ac:dyDescent="0.3">
      <c r="A25" s="318" t="str">
        <f>IF(L25=1,"N-DEx-"&amp;TEXT(COUNTIF($L$3:L25, "1"), "0"), "")</f>
        <v>N-DEx-20</v>
      </c>
      <c r="B25" s="183" t="s">
        <v>43</v>
      </c>
      <c r="C25" s="164" t="s">
        <v>845</v>
      </c>
      <c r="D25" s="185"/>
      <c r="E25" s="186"/>
      <c r="F25" s="166"/>
      <c r="G25" s="137" t="s">
        <v>101</v>
      </c>
      <c r="I25" s="116">
        <f>IF(NOT(ISBLANK($B25)),VLOOKUP($B25,specdata,2,FALSE()),"")</f>
        <v>1</v>
      </c>
      <c r="J25" s="116">
        <f>VLOOKUP(G25,AvailabilityData,2,FALSE())</f>
        <v>0</v>
      </c>
      <c r="K25" s="116">
        <f>I25*J25</f>
        <v>0</v>
      </c>
      <c r="L25" s="115">
        <v>1</v>
      </c>
    </row>
    <row r="26" spans="1:12" ht="30" customHeight="1" x14ac:dyDescent="0.3">
      <c r="A26" s="318" t="str">
        <f>IF(L26=1,"N-DEx-"&amp;TEXT(COUNTIF($L$3:L26, "1"), "0"), "")</f>
        <v>N-DEx-21</v>
      </c>
      <c r="B26" s="183" t="s">
        <v>43</v>
      </c>
      <c r="C26" s="164" t="s">
        <v>210</v>
      </c>
      <c r="D26" s="185"/>
      <c r="E26" s="186"/>
      <c r="F26" s="166"/>
      <c r="G26" s="137" t="s">
        <v>101</v>
      </c>
      <c r="I26" s="116">
        <f>IF(NOT(ISBLANK($B26)),VLOOKUP($B26,specdata,2,FALSE()),"")</f>
        <v>1</v>
      </c>
      <c r="J26" s="116">
        <f>VLOOKUP(G26,AvailabilityData,2,FALSE())</f>
        <v>0</v>
      </c>
      <c r="K26" s="116">
        <f>I26*J26</f>
        <v>0</v>
      </c>
      <c r="L26" s="115">
        <v>1</v>
      </c>
    </row>
    <row r="27" spans="1:12" ht="30" customHeight="1" x14ac:dyDescent="0.3">
      <c r="A27" s="318" t="str">
        <f>IF(L27=1,"N-DEx-"&amp;TEXT(COUNTIF($L$3:L27, "1"), "0"), "")</f>
        <v>N-DEx-22</v>
      </c>
      <c r="B27" s="260" t="s">
        <v>43</v>
      </c>
      <c r="C27" s="170" t="s">
        <v>211</v>
      </c>
      <c r="D27" s="192"/>
      <c r="E27" s="172"/>
      <c r="F27" s="173"/>
      <c r="G27" s="176" t="s">
        <v>101</v>
      </c>
      <c r="I27" s="116">
        <f>IF(NOT(ISBLANK($B27)),VLOOKUP($B27,specdata,2,FALSE()),"")</f>
        <v>1</v>
      </c>
      <c r="J27" s="116">
        <f>VLOOKUP(G27,AvailabilityData,2,FALSE())</f>
        <v>0</v>
      </c>
      <c r="K27" s="116">
        <f>I27*J27</f>
        <v>0</v>
      </c>
      <c r="L27" s="115">
        <v>1</v>
      </c>
    </row>
    <row r="28" spans="1:12" x14ac:dyDescent="0.3">
      <c r="A28" s="316"/>
      <c r="B28" s="126"/>
      <c r="C28" s="193" t="s">
        <v>174</v>
      </c>
      <c r="D28" s="194"/>
      <c r="E28" s="180"/>
      <c r="F28" s="181"/>
      <c r="G28" s="182"/>
    </row>
    <row r="29" spans="1:12" ht="30" customHeight="1" x14ac:dyDescent="0.3">
      <c r="A29" s="318" t="str">
        <f>IF(L29=1,"N-DEx-"&amp;TEXT(COUNTIF($L$3:L29, "1"), "0"), "")</f>
        <v>N-DEx-23</v>
      </c>
      <c r="B29" s="183" t="s">
        <v>43</v>
      </c>
      <c r="C29" s="184" t="s">
        <v>258</v>
      </c>
      <c r="D29" s="185"/>
      <c r="E29" s="186"/>
      <c r="F29" s="191"/>
      <c r="G29" s="187" t="s">
        <v>101</v>
      </c>
      <c r="I29" s="116">
        <f>IF(NOT(ISBLANK($B29)),VLOOKUP($B29,specdata,2,FALSE()),"")</f>
        <v>1</v>
      </c>
      <c r="J29" s="116">
        <f>VLOOKUP(G29,AvailabilityData,2,FALSE())</f>
        <v>0</v>
      </c>
      <c r="K29" s="116">
        <f>I29*J29</f>
        <v>0</v>
      </c>
      <c r="L29" s="115">
        <v>1</v>
      </c>
    </row>
    <row r="30" spans="1:12" ht="31.2" x14ac:dyDescent="0.3">
      <c r="A30" s="318" t="str">
        <f>IF(L30=1,"N-DEx-"&amp;TEXT(COUNTIF($L$3:L30, "1"), "0"), "")</f>
        <v>N-DEx-24</v>
      </c>
      <c r="B30" s="183" t="s">
        <v>43</v>
      </c>
      <c r="C30" s="164" t="s">
        <v>846</v>
      </c>
      <c r="D30" s="185"/>
      <c r="E30" s="186"/>
      <c r="F30" s="166"/>
      <c r="G30" s="137" t="s">
        <v>101</v>
      </c>
      <c r="I30" s="116">
        <f>IF(NOT(ISBLANK($B30)),VLOOKUP($B30,specdata,2,FALSE()),"")</f>
        <v>1</v>
      </c>
      <c r="J30" s="116">
        <f>VLOOKUP(G30,AvailabilityData,2,FALSE())</f>
        <v>0</v>
      </c>
      <c r="K30" s="116">
        <f>I30*J30</f>
        <v>0</v>
      </c>
      <c r="L30" s="115">
        <v>1</v>
      </c>
    </row>
    <row r="31" spans="1:12" ht="46.8" x14ac:dyDescent="0.3">
      <c r="A31" s="318" t="str">
        <f>IF(L31=1,"N-DEx-"&amp;TEXT(COUNTIF($L$3:L31, "1"), "0"), "")</f>
        <v>N-DEx-25</v>
      </c>
      <c r="B31" s="133" t="s">
        <v>43</v>
      </c>
      <c r="C31" s="164" t="s">
        <v>193</v>
      </c>
      <c r="D31" s="138"/>
      <c r="E31" s="168"/>
      <c r="F31" s="137"/>
      <c r="G31" s="137" t="s">
        <v>101</v>
      </c>
      <c r="I31" s="116">
        <f>IF(NOT(ISBLANK($B31)),VLOOKUP($B31,specdata,2,FALSE()),"")</f>
        <v>1</v>
      </c>
      <c r="J31" s="116">
        <f>VLOOKUP(G31,AvailabilityData,2,FALSE())</f>
        <v>0</v>
      </c>
      <c r="K31" s="116">
        <f>I31*J31</f>
        <v>0</v>
      </c>
      <c r="L31" s="115">
        <v>1</v>
      </c>
    </row>
    <row r="32" spans="1:12" ht="30" customHeight="1" x14ac:dyDescent="0.3">
      <c r="A32" s="318" t="str">
        <f>IF(L32=1,"N-DEx-"&amp;TEXT(COUNTIF($L$3:L32, "1"), "0"), "")</f>
        <v>N-DEx-26</v>
      </c>
      <c r="B32" s="133" t="s">
        <v>43</v>
      </c>
      <c r="C32" s="164" t="s">
        <v>847</v>
      </c>
      <c r="D32" s="153"/>
      <c r="E32" s="168"/>
      <c r="F32" s="137"/>
      <c r="G32" s="137" t="s">
        <v>101</v>
      </c>
      <c r="I32" s="116">
        <f>IF(NOT(ISBLANK($B32)),VLOOKUP($B32,specdata,2,FALSE()),"")</f>
        <v>1</v>
      </c>
      <c r="J32" s="116">
        <f>VLOOKUP(G32,AvailabilityData,2,FALSE())</f>
        <v>0</v>
      </c>
      <c r="K32" s="116">
        <f>I32*J32</f>
        <v>0</v>
      </c>
      <c r="L32" s="115">
        <v>1</v>
      </c>
    </row>
    <row r="33" spans="4:4" ht="30" customHeight="1" x14ac:dyDescent="0.3">
      <c r="D33" s="355"/>
    </row>
    <row r="34" spans="4:4" ht="30" customHeight="1" x14ac:dyDescent="0.3">
      <c r="D34" s="355"/>
    </row>
    <row r="35" spans="4:4" ht="30" customHeight="1" x14ac:dyDescent="0.3">
      <c r="D35" s="355"/>
    </row>
    <row r="36" spans="4:4" ht="30" customHeight="1" x14ac:dyDescent="0.3">
      <c r="D36" s="355"/>
    </row>
    <row r="37" spans="4:4" ht="30" customHeight="1" x14ac:dyDescent="0.3">
      <c r="D37" s="262"/>
    </row>
    <row r="38" spans="4:4" ht="30" customHeight="1" x14ac:dyDescent="0.3"/>
    <row r="39" spans="4:4" ht="30" customHeight="1" x14ac:dyDescent="0.3"/>
    <row r="40" spans="4:4" ht="45" customHeight="1" x14ac:dyDescent="0.3"/>
    <row r="41" spans="4:4" ht="30" customHeight="1" x14ac:dyDescent="0.3"/>
    <row r="42" spans="4:4" ht="30" customHeight="1" x14ac:dyDescent="0.3"/>
    <row r="43" spans="4:4" ht="30" customHeight="1" x14ac:dyDescent="0.3"/>
    <row r="44" spans="4:4" ht="30" customHeight="1" x14ac:dyDescent="0.3"/>
    <row r="45" spans="4:4" ht="30" customHeight="1" x14ac:dyDescent="0.3"/>
    <row r="46" spans="4:4" ht="30" customHeight="1" x14ac:dyDescent="0.3"/>
    <row r="47" spans="4:4" ht="15" customHeight="1" x14ac:dyDescent="0.3"/>
    <row r="48" spans="4:4" ht="15"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spans="4:4" ht="30" customHeight="1" x14ac:dyDescent="0.3"/>
    <row r="82" spans="4:4" ht="30" customHeight="1" x14ac:dyDescent="0.3"/>
    <row r="83" spans="4:4" ht="30" customHeight="1" x14ac:dyDescent="0.3"/>
    <row r="84" spans="4:4" ht="30" customHeight="1" x14ac:dyDescent="0.3"/>
    <row r="85" spans="4:4" ht="30" customHeight="1" x14ac:dyDescent="0.3"/>
    <row r="87" spans="4:4" ht="30" customHeight="1" x14ac:dyDescent="0.3">
      <c r="D87" s="262"/>
    </row>
    <row r="88" spans="4:4" ht="30" customHeight="1" x14ac:dyDescent="0.3">
      <c r="D88" s="262"/>
    </row>
    <row r="89" spans="4:4" ht="30" customHeight="1" x14ac:dyDescent="0.3">
      <c r="D89" s="262"/>
    </row>
    <row r="90" spans="4:4" ht="30" customHeight="1" x14ac:dyDescent="0.3"/>
    <row r="91" spans="4:4" ht="30" customHeight="1" x14ac:dyDescent="0.3">
      <c r="D91" s="355"/>
    </row>
    <row r="92" spans="4:4" ht="30" customHeight="1" x14ac:dyDescent="0.3">
      <c r="D92" s="355"/>
    </row>
    <row r="93" spans="4:4" ht="30" customHeight="1" x14ac:dyDescent="0.3">
      <c r="D93" s="355"/>
    </row>
    <row r="94" spans="4:4" ht="30" customHeight="1" x14ac:dyDescent="0.3">
      <c r="D94" s="355"/>
    </row>
    <row r="95" spans="4:4" ht="30" customHeight="1" x14ac:dyDescent="0.3">
      <c r="D95" s="355"/>
    </row>
    <row r="96" spans="4:4" ht="30" customHeight="1" x14ac:dyDescent="0.3">
      <c r="D96" s="355"/>
    </row>
    <row r="97" spans="4:4" ht="30" customHeight="1" x14ac:dyDescent="0.3">
      <c r="D97" s="355"/>
    </row>
    <row r="98" spans="4:4" ht="30" customHeight="1" x14ac:dyDescent="0.3">
      <c r="D98" s="355"/>
    </row>
    <row r="99" spans="4:4" ht="30" customHeight="1" x14ac:dyDescent="0.3">
      <c r="D99" s="262"/>
    </row>
    <row r="100" spans="4:4" ht="30" customHeight="1" x14ac:dyDescent="0.3">
      <c r="D100" s="262"/>
    </row>
    <row r="101" spans="4:4" ht="30" customHeight="1" x14ac:dyDescent="0.3">
      <c r="D101" s="262"/>
    </row>
    <row r="102" spans="4:4" ht="30" customHeight="1" x14ac:dyDescent="0.3">
      <c r="D102" s="262"/>
    </row>
    <row r="103" spans="4:4" ht="30" customHeight="1" x14ac:dyDescent="0.3">
      <c r="D103" s="355"/>
    </row>
    <row r="104" spans="4:4" ht="30" customHeight="1" x14ac:dyDescent="0.3">
      <c r="D104" s="355"/>
    </row>
    <row r="105" spans="4:4" ht="30" customHeight="1" x14ac:dyDescent="0.3">
      <c r="D105" s="355"/>
    </row>
    <row r="106" spans="4:4" ht="30" customHeight="1" x14ac:dyDescent="0.3">
      <c r="D106" s="355"/>
    </row>
    <row r="107" spans="4:4" ht="30" customHeight="1" x14ac:dyDescent="0.3">
      <c r="D107" s="355"/>
    </row>
    <row r="108" spans="4:4" ht="30" customHeight="1" x14ac:dyDescent="0.3">
      <c r="D108" s="355"/>
    </row>
    <row r="109" spans="4:4" ht="30" customHeight="1" x14ac:dyDescent="0.3">
      <c r="D109" s="355"/>
    </row>
    <row r="110" spans="4:4" ht="30" customHeight="1" x14ac:dyDescent="0.3">
      <c r="D110" s="355"/>
    </row>
    <row r="111" spans="4:4" ht="30" customHeight="1" x14ac:dyDescent="0.3"/>
    <row r="112" spans="4:4"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45"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30" customHeight="1" x14ac:dyDescent="0.3"/>
    <row r="174" ht="30" customHeight="1" x14ac:dyDescent="0.3"/>
    <row r="175" ht="30" customHeight="1" x14ac:dyDescent="0.3"/>
    <row r="176" ht="30" customHeight="1" x14ac:dyDescent="0.3"/>
    <row r="177" ht="30" customHeight="1" x14ac:dyDescent="0.3"/>
    <row r="178" ht="30" customHeight="1" x14ac:dyDescent="0.3"/>
    <row r="179" ht="59.25" customHeight="1" x14ac:dyDescent="0.3"/>
  </sheetData>
  <mergeCells count="1">
    <mergeCell ref="N3:P6"/>
  </mergeCells>
  <conditionalFormatting sqref="B1:B1048576">
    <cfRule type="cellIs" dxfId="166" priority="2" operator="equal">
      <formula>"Informational"</formula>
    </cfRule>
    <cfRule type="cellIs" dxfId="165" priority="3" operator="equal">
      <formula>"Critical"</formula>
    </cfRule>
    <cfRule type="cellIs" dxfId="164" priority="4" operator="equal">
      <formula>"Not Needed"</formula>
    </cfRule>
    <cfRule type="cellIs" dxfId="163" priority="5" operator="equal">
      <formula>"Extremely Advantageous"</formula>
    </cfRule>
  </conditionalFormatting>
  <conditionalFormatting sqref="B2:B31">
    <cfRule type="cellIs" dxfId="162" priority="8" operator="equal">
      <formula>"Mandatory"</formula>
    </cfRule>
  </conditionalFormatting>
  <conditionalFormatting sqref="G1:G1048576">
    <cfRule type="cellIs" dxfId="161" priority="6" operator="equal">
      <formula>"Exception"</formula>
    </cfRule>
  </conditionalFormatting>
  <conditionalFormatting sqref="G3:G32">
    <cfRule type="cellIs" dxfId="160"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31" xr:uid="{00000000-0002-0000-1F00-000000000000}">
      <formula1>SpecType</formula1>
      <formula2>0</formula2>
    </dataValidation>
    <dataValidation type="list" allowBlank="1" showInputMessage="1" showErrorMessage="1" sqref="G3:G32" xr:uid="{00000000-0002-0000-1F00-000001000000}">
      <formula1>Availability</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June 2024 ©&amp;R&amp;"Arial,Bold"&amp;10&amp;P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pageSetUpPr fitToPage="1"/>
  </sheetPr>
  <dimension ref="A1:Q156"/>
  <sheetViews>
    <sheetView zoomScaleNormal="100" zoomScalePageLayoutView="70" workbookViewId="0">
      <selection activeCell="D3" sqref="D3"/>
    </sheetView>
  </sheetViews>
  <sheetFormatPr defaultColWidth="28.3984375" defaultRowHeight="13.8" x14ac:dyDescent="0.25"/>
  <cols>
    <col min="1" max="1" width="10.59765625" style="195" customWidth="1"/>
    <col min="2" max="2" width="14.59765625" style="195" customWidth="1"/>
    <col min="3" max="3" width="65.59765625" style="343" customWidth="1"/>
    <col min="4" max="4" width="65.59765625" style="469" customWidth="1"/>
    <col min="5" max="5" width="10.59765625" style="469" hidden="1" customWidth="1"/>
    <col min="6" max="6" width="6.59765625" style="469" hidden="1" customWidth="1"/>
    <col min="7" max="7" width="30.59765625" style="469" customWidth="1"/>
    <col min="8" max="11" width="8.59765625" style="207" hidden="1" customWidth="1"/>
    <col min="12" max="12" width="0" style="197" hidden="1" customWidth="1"/>
    <col min="13" max="13" width="12.59765625" style="197" customWidth="1"/>
    <col min="14" max="14" width="9.59765625" style="197" customWidth="1"/>
    <col min="15" max="16384" width="28.3984375" style="197"/>
  </cols>
  <sheetData>
    <row r="1" spans="1:17" s="432" customFormat="1" ht="105" customHeight="1" thickBot="1" x14ac:dyDescent="0.3">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398" t="str">
        <f>'Support Data'!A24</f>
        <v>Summary</v>
      </c>
      <c r="I1" s="398" t="str">
        <f>'Support Data'!A25</f>
        <v>Spec Weight</v>
      </c>
      <c r="J1" s="398" t="str">
        <f>'Support Data'!A26</f>
        <v>Avail Weight</v>
      </c>
      <c r="K1" s="398" t="str">
        <f>'Support Data'!A27</f>
        <v>Score</v>
      </c>
      <c r="L1" s="398" t="s">
        <v>104</v>
      </c>
      <c r="M1" s="843"/>
    </row>
    <row r="2" spans="1:17" x14ac:dyDescent="0.25">
      <c r="A2" s="433" t="s">
        <v>18</v>
      </c>
      <c r="B2" s="288"/>
      <c r="C2" s="364"/>
      <c r="D2" s="200"/>
      <c r="E2" s="201"/>
      <c r="F2" s="201"/>
      <c r="G2" s="845"/>
      <c r="H2" s="207">
        <f>COUNTA(B3:B95)</f>
        <v>76</v>
      </c>
      <c r="K2" s="207">
        <f>SUM(K3:K95)</f>
        <v>0</v>
      </c>
    </row>
    <row r="3" spans="1:17" ht="30" customHeight="1" x14ac:dyDescent="0.25">
      <c r="A3" s="470" t="str">
        <f>IF(L3=1,"NG911-"&amp;TEXT(COUNTIF($L$3:L3, "1"), "0"), "")</f>
        <v>NG911-1</v>
      </c>
      <c r="B3" s="471" t="s">
        <v>43</v>
      </c>
      <c r="C3" s="472" t="s">
        <v>848</v>
      </c>
      <c r="D3" s="473"/>
      <c r="E3" s="224"/>
      <c r="F3" s="225"/>
      <c r="G3" s="299" t="s">
        <v>101</v>
      </c>
      <c r="H3" s="131">
        <f>COUNTIF(G:G,"=Select from Drop Down List")</f>
        <v>76</v>
      </c>
      <c r="I3" s="207">
        <f>IF(NOT(ISBLANK($B3)),VLOOKUP($B3,specdata,2,FALSE()),"")</f>
        <v>1</v>
      </c>
      <c r="J3" s="207">
        <f>VLOOKUP(G3,AvailabilityData,2,FALSE())</f>
        <v>0</v>
      </c>
      <c r="K3" s="207">
        <f>I3*J3</f>
        <v>0</v>
      </c>
      <c r="L3" s="197">
        <v>1</v>
      </c>
      <c r="O3" s="857"/>
      <c r="P3" s="857"/>
      <c r="Q3" s="857"/>
    </row>
    <row r="4" spans="1:17" ht="15.6" x14ac:dyDescent="0.25">
      <c r="A4" s="342"/>
      <c r="B4" s="211"/>
      <c r="C4" s="364" t="s">
        <v>849</v>
      </c>
      <c r="D4" s="294"/>
      <c r="E4" s="214"/>
      <c r="F4" s="413"/>
      <c r="G4" s="850"/>
      <c r="H4" s="131">
        <f>COUNTIF(G:G,"=Function Available")</f>
        <v>0</v>
      </c>
      <c r="O4" s="857"/>
      <c r="P4" s="857"/>
      <c r="Q4" s="857"/>
    </row>
    <row r="5" spans="1:17" ht="30" customHeight="1" x14ac:dyDescent="0.25">
      <c r="A5" s="470" t="str">
        <f>IF(L5=1,"NG911-"&amp;TEXT(COUNTIF($L$3:L5, "1"), "0"), "")</f>
        <v>NG911-2</v>
      </c>
      <c r="B5" s="471" t="s">
        <v>43</v>
      </c>
      <c r="C5" s="474" t="s">
        <v>850</v>
      </c>
      <c r="D5" s="295"/>
      <c r="E5" s="219"/>
      <c r="F5" s="226"/>
      <c r="G5" s="296" t="s">
        <v>101</v>
      </c>
      <c r="H5" s="131">
        <f>COUNTIF(F:G,"=Function Not Available")</f>
        <v>0</v>
      </c>
      <c r="I5" s="207">
        <f>IF(NOT(ISBLANK($B5)),VLOOKUP($B5,specdata,2,FALSE()),"")</f>
        <v>1</v>
      </c>
      <c r="J5" s="207">
        <f>VLOOKUP(G5,AvailabilityData,2,FALSE())</f>
        <v>0</v>
      </c>
      <c r="K5" s="207">
        <f>I5*J5</f>
        <v>0</v>
      </c>
      <c r="L5" s="197">
        <v>1</v>
      </c>
      <c r="O5" s="857"/>
      <c r="P5" s="857"/>
      <c r="Q5" s="857"/>
    </row>
    <row r="6" spans="1:17" ht="30" customHeight="1" x14ac:dyDescent="0.25">
      <c r="A6" s="470" t="str">
        <f>IF(L6=1,"NG911-"&amp;TEXT(COUNTIF($L$3:L6, "1"), "0"), "")</f>
        <v>NG911-3</v>
      </c>
      <c r="B6" s="475" t="s">
        <v>43</v>
      </c>
      <c r="C6" s="476" t="s">
        <v>851</v>
      </c>
      <c r="D6" s="295"/>
      <c r="E6" s="219"/>
      <c r="F6" s="206"/>
      <c r="G6" s="299" t="s">
        <v>101</v>
      </c>
      <c r="H6" s="131">
        <f>COUNTIF(G:G,"=Exception")</f>
        <v>0</v>
      </c>
      <c r="I6" s="207">
        <f>IF(NOT(ISBLANK($B6)),VLOOKUP($B6,specdata,2,FALSE()),"")</f>
        <v>1</v>
      </c>
      <c r="J6" s="207">
        <f>VLOOKUP(G6,AvailabilityData,2,FALSE())</f>
        <v>0</v>
      </c>
      <c r="K6" s="207">
        <f>I6*J6</f>
        <v>0</v>
      </c>
      <c r="L6" s="197">
        <v>1</v>
      </c>
      <c r="O6" s="857"/>
      <c r="P6" s="857"/>
      <c r="Q6" s="857"/>
    </row>
    <row r="7" spans="1:17" ht="30" customHeight="1" x14ac:dyDescent="0.25">
      <c r="A7" s="470" t="str">
        <f>IF(L7=1,"NG911-"&amp;TEXT(COUNTIF($L$3:L7, "1"), "0"), "")</f>
        <v>NG911-4</v>
      </c>
      <c r="B7" s="477" t="s">
        <v>43</v>
      </c>
      <c r="C7" s="478" t="s">
        <v>852</v>
      </c>
      <c r="D7" s="358"/>
      <c r="E7" s="229"/>
      <c r="F7" s="225"/>
      <c r="G7" s="299" t="s">
        <v>101</v>
      </c>
      <c r="H7" s="140">
        <f>COUNTIFS(B:B,"=Critical",G:G,"=Select from Drop Down List")</f>
        <v>0</v>
      </c>
      <c r="I7" s="207">
        <f>IF(NOT(ISBLANK($B7)),VLOOKUP($B7,specdata,2,FALSE()),"")</f>
        <v>1</v>
      </c>
      <c r="J7" s="207">
        <f>VLOOKUP(G7,AvailabilityData,2,FALSE())</f>
        <v>0</v>
      </c>
      <c r="K7" s="207">
        <f>I7*J7</f>
        <v>0</v>
      </c>
      <c r="L7" s="197">
        <v>1</v>
      </c>
    </row>
    <row r="8" spans="1:17" ht="30" customHeight="1" x14ac:dyDescent="0.25">
      <c r="A8" s="470" t="str">
        <f>IF(L8=1,"NG911-"&amp;TEXT(COUNTIF($L$3:L8, "1"), "0"), "")</f>
        <v>NG911-5</v>
      </c>
      <c r="B8" s="477" t="s">
        <v>43</v>
      </c>
      <c r="C8" s="479" t="s">
        <v>853</v>
      </c>
      <c r="D8" s="473"/>
      <c r="E8" s="224"/>
      <c r="F8" s="293"/>
      <c r="G8" s="299" t="s">
        <v>101</v>
      </c>
      <c r="H8" s="140">
        <f>COUNTIFS(B:B,"=Critical",G:G,"=Function Available")</f>
        <v>0</v>
      </c>
      <c r="I8" s="207">
        <f>IF(NOT(ISBLANK($B8)),VLOOKUP($B8,specdata,2,FALSE()),"")</f>
        <v>1</v>
      </c>
      <c r="J8" s="207">
        <f>VLOOKUP(G8,AvailabilityData,2,FALSE())</f>
        <v>0</v>
      </c>
      <c r="K8" s="207">
        <f>I8*J8</f>
        <v>0</v>
      </c>
      <c r="L8" s="197">
        <v>1</v>
      </c>
    </row>
    <row r="9" spans="1:17" ht="15.6" x14ac:dyDescent="0.25">
      <c r="A9" s="342"/>
      <c r="B9" s="211"/>
      <c r="C9" s="480" t="s">
        <v>854</v>
      </c>
      <c r="D9" s="481"/>
      <c r="E9" s="214"/>
      <c r="F9" s="413"/>
      <c r="G9" s="850"/>
      <c r="H9" s="140">
        <f>COUNTIFS(B:B,"=Critical",G:G,"=Function Not Available")</f>
        <v>0</v>
      </c>
    </row>
    <row r="10" spans="1:17" ht="41.4" x14ac:dyDescent="0.25">
      <c r="A10" s="470" t="str">
        <f>IF(L10=1,"NG911-"&amp;TEXT(COUNTIF($L$3:L10, "1"), "0"), "")</f>
        <v>NG911-6</v>
      </c>
      <c r="B10" s="482" t="s">
        <v>43</v>
      </c>
      <c r="C10" s="483" t="s">
        <v>855</v>
      </c>
      <c r="D10" s="484"/>
      <c r="E10" s="229"/>
      <c r="F10" s="341"/>
      <c r="G10" s="299" t="s">
        <v>101</v>
      </c>
      <c r="H10" s="140">
        <f>COUNTIFS(B:B,"=Critical",G:G,"=Exception")</f>
        <v>0</v>
      </c>
      <c r="I10" s="207">
        <f>IF(NOT(ISBLANK($B10)),VLOOKUP($B10,specdata,2,FALSE()),"")</f>
        <v>1</v>
      </c>
      <c r="J10" s="207">
        <f>VLOOKUP(G10,AvailabilityData,2,FALSE())</f>
        <v>0</v>
      </c>
      <c r="K10" s="207">
        <f>I10*J10</f>
        <v>0</v>
      </c>
      <c r="L10" s="197">
        <v>1</v>
      </c>
    </row>
    <row r="11" spans="1:17" ht="30" customHeight="1" x14ac:dyDescent="0.25">
      <c r="A11" s="342"/>
      <c r="B11" s="211"/>
      <c r="C11" s="485" t="s">
        <v>856</v>
      </c>
      <c r="D11" s="486"/>
      <c r="E11" s="214"/>
      <c r="F11" s="413"/>
      <c r="G11" s="850"/>
      <c r="H11" s="146">
        <f>COUNTIFS(B:B,"=Important",G:G,"=Select from Drop Down List")</f>
        <v>76</v>
      </c>
    </row>
    <row r="12" spans="1:17" ht="30" customHeight="1" x14ac:dyDescent="0.25">
      <c r="A12" s="470" t="str">
        <f>IF(L12=1,"NG911-"&amp;TEXT(COUNTIF($L$3:L12, "1"), "0"), "")</f>
        <v>NG911-7</v>
      </c>
      <c r="B12" s="471" t="s">
        <v>43</v>
      </c>
      <c r="C12" s="487" t="s">
        <v>857</v>
      </c>
      <c r="D12" s="488"/>
      <c r="E12" s="219"/>
      <c r="F12" s="296"/>
      <c r="G12" s="302" t="s">
        <v>101</v>
      </c>
      <c r="H12" s="146">
        <f>COUNTIFS(B:B,"=Important",G:G,"=Function Available")</f>
        <v>0</v>
      </c>
      <c r="I12" s="207">
        <f>IF(NOT(ISBLANK($B12)),VLOOKUP($B12,specdata,2,FALSE()),"")</f>
        <v>1</v>
      </c>
      <c r="J12" s="207">
        <f>VLOOKUP(G12,AvailabilityData,2,FALSE())</f>
        <v>0</v>
      </c>
      <c r="K12" s="207">
        <f>I12*J12</f>
        <v>0</v>
      </c>
      <c r="L12" s="197">
        <v>1</v>
      </c>
    </row>
    <row r="13" spans="1:17" ht="30" customHeight="1" x14ac:dyDescent="0.25">
      <c r="A13" s="470" t="str">
        <f>IF(L13=1,"NG911-"&amp;TEXT(COUNTIF($L$3:L13, "1"), "0"), "")</f>
        <v>NG911-8</v>
      </c>
      <c r="B13" s="471" t="s">
        <v>43</v>
      </c>
      <c r="C13" s="487" t="s">
        <v>858</v>
      </c>
      <c r="D13" s="488"/>
      <c r="E13" s="219"/>
      <c r="F13" s="226"/>
      <c r="G13" s="299" t="s">
        <v>101</v>
      </c>
      <c r="H13" s="146">
        <f>COUNTIFS(B:B,"=Important",G:G,"=Function Not Available")</f>
        <v>0</v>
      </c>
      <c r="I13" s="207">
        <f>IF(NOT(ISBLANK($B13)),VLOOKUP($B13,specdata,2,FALSE()),"")</f>
        <v>1</v>
      </c>
      <c r="J13" s="207">
        <f>VLOOKUP(G13,AvailabilityData,2,FALSE())</f>
        <v>0</v>
      </c>
      <c r="K13" s="207">
        <f>I13*J13</f>
        <v>0</v>
      </c>
      <c r="L13" s="197">
        <v>1</v>
      </c>
    </row>
    <row r="14" spans="1:17" ht="30" customHeight="1" x14ac:dyDescent="0.25">
      <c r="A14" s="470" t="str">
        <f>IF(L14=1,"NG911-"&amp;TEXT(COUNTIF($L$3:L14, "1"), "0"), "")</f>
        <v>NG911-9</v>
      </c>
      <c r="B14" s="475" t="s">
        <v>43</v>
      </c>
      <c r="C14" s="489" t="s">
        <v>859</v>
      </c>
      <c r="D14" s="488"/>
      <c r="E14" s="219"/>
      <c r="F14" s="206"/>
      <c r="G14" s="299" t="s">
        <v>101</v>
      </c>
      <c r="H14" s="146">
        <f>COUNTIFS(B:B,"=Important",G:G,"=Exception")</f>
        <v>0</v>
      </c>
      <c r="I14" s="207">
        <f>IF(NOT(ISBLANK($B14)),VLOOKUP($B14,specdata,2,FALSE()),"")</f>
        <v>1</v>
      </c>
      <c r="J14" s="207">
        <f>VLOOKUP(G14,AvailabilityData,2,FALSE())</f>
        <v>0</v>
      </c>
      <c r="K14" s="207">
        <f>I14*J14</f>
        <v>0</v>
      </c>
      <c r="L14" s="197">
        <v>1</v>
      </c>
    </row>
    <row r="15" spans="1:17" ht="30" customHeight="1" x14ac:dyDescent="0.25">
      <c r="A15" s="470" t="str">
        <f>IF(L15=1,"NG911-"&amp;TEXT(COUNTIF($L$3:L15, "1"), "0"), "")</f>
        <v>NG911-10</v>
      </c>
      <c r="B15" s="477" t="s">
        <v>43</v>
      </c>
      <c r="C15" s="472" t="s">
        <v>860</v>
      </c>
      <c r="D15" s="484"/>
      <c r="E15" s="229"/>
      <c r="F15" s="225"/>
      <c r="G15" s="299" t="s">
        <v>101</v>
      </c>
      <c r="H15" s="147">
        <f>COUNTIFS(B:B,"=Informational",G:G,"=Select from Drop Down List")</f>
        <v>0</v>
      </c>
      <c r="I15" s="207">
        <f>IF(NOT(ISBLANK($B15)),VLOOKUP($B15,specdata,2,FALSE()),"")</f>
        <v>1</v>
      </c>
      <c r="J15" s="207">
        <f>VLOOKUP(G15,AvailabilityData,2,FALSE())</f>
        <v>0</v>
      </c>
      <c r="K15" s="207">
        <f>I15*J15</f>
        <v>0</v>
      </c>
      <c r="L15" s="197">
        <v>1</v>
      </c>
    </row>
    <row r="16" spans="1:17" ht="15.6" x14ac:dyDescent="0.25">
      <c r="A16" s="342"/>
      <c r="B16" s="211"/>
      <c r="C16" s="480" t="s">
        <v>861</v>
      </c>
      <c r="D16" s="486"/>
      <c r="E16" s="214"/>
      <c r="F16" s="413"/>
      <c r="G16" s="850"/>
      <c r="H16" s="147">
        <f>COUNTIFS(B:B,"=Informational",G:G,"=Function Available")</f>
        <v>0</v>
      </c>
    </row>
    <row r="17" spans="1:12" ht="27.6" x14ac:dyDescent="0.25">
      <c r="A17" s="470" t="str">
        <f>IF(L17=1,"NG911-"&amp;TEXT(COUNTIF($L$3:L17, "1"), "0"), "")</f>
        <v>NG911-11</v>
      </c>
      <c r="B17" s="471" t="s">
        <v>43</v>
      </c>
      <c r="C17" s="483" t="s">
        <v>862</v>
      </c>
      <c r="D17" s="484"/>
      <c r="E17" s="229"/>
      <c r="F17" s="436"/>
      <c r="G17" s="299" t="s">
        <v>101</v>
      </c>
      <c r="H17" s="147">
        <f>COUNTIFS(B:B,"=Informational",G:G,"=Function Not Available")</f>
        <v>0</v>
      </c>
      <c r="I17" s="207">
        <f>IF(NOT(ISBLANK($B17)),VLOOKUP($B17,specdata,2,FALSE()),"")</f>
        <v>1</v>
      </c>
      <c r="J17" s="207">
        <f>VLOOKUP(G17,AvailabilityData,2,FALSE())</f>
        <v>0</v>
      </c>
      <c r="K17" s="207">
        <f>I17*J17</f>
        <v>0</v>
      </c>
      <c r="L17" s="197">
        <v>1</v>
      </c>
    </row>
    <row r="18" spans="1:12" ht="21" customHeight="1" x14ac:dyDescent="0.25">
      <c r="A18" s="342"/>
      <c r="B18" s="211"/>
      <c r="C18" s="485" t="s">
        <v>863</v>
      </c>
      <c r="D18" s="486"/>
      <c r="E18" s="214"/>
      <c r="F18" s="413"/>
      <c r="G18" s="850"/>
      <c r="H18" s="147">
        <f>COUNTIFS(B:B,"=Informational",G:G,"=Exception")</f>
        <v>0</v>
      </c>
    </row>
    <row r="19" spans="1:12" ht="30" customHeight="1" x14ac:dyDescent="0.25">
      <c r="A19" s="470" t="str">
        <f>IF(L19=1,"NG911-"&amp;TEXT(COUNTIF($L$3:L19, "1"), "0"), "")</f>
        <v>NG911-12</v>
      </c>
      <c r="B19" s="471" t="s">
        <v>43</v>
      </c>
      <c r="C19" s="490" t="s">
        <v>864</v>
      </c>
      <c r="D19" s="488"/>
      <c r="E19" s="219"/>
      <c r="F19" s="226"/>
      <c r="G19" s="296" t="s">
        <v>101</v>
      </c>
      <c r="H19" s="491"/>
      <c r="I19" s="207">
        <f t="shared" ref="I19:I24" si="0">IF(NOT(ISBLANK($B19)),VLOOKUP($B19,specdata,2,FALSE()),"")</f>
        <v>1</v>
      </c>
      <c r="J19" s="207">
        <f t="shared" ref="J19:J24" si="1">VLOOKUP(G19,AvailabilityData,2,FALSE())</f>
        <v>0</v>
      </c>
      <c r="K19" s="207">
        <f t="shared" ref="K19:K24" si="2">I19*J19</f>
        <v>0</v>
      </c>
      <c r="L19" s="197">
        <v>1</v>
      </c>
    </row>
    <row r="20" spans="1:12" ht="30" customHeight="1" x14ac:dyDescent="0.25">
      <c r="A20" s="470" t="str">
        <f>IF(L20=1,"NG911-"&amp;TEXT(COUNTIF($L$3:L20, "1"), "0"), "")</f>
        <v>NG911-13</v>
      </c>
      <c r="B20" s="475" t="s">
        <v>43</v>
      </c>
      <c r="C20" s="492" t="s">
        <v>865</v>
      </c>
      <c r="D20" s="488"/>
      <c r="E20" s="219"/>
      <c r="F20" s="206"/>
      <c r="G20" s="299" t="s">
        <v>101</v>
      </c>
      <c r="H20" s="491"/>
      <c r="I20" s="207">
        <f t="shared" si="0"/>
        <v>1</v>
      </c>
      <c r="J20" s="207">
        <f t="shared" si="1"/>
        <v>0</v>
      </c>
      <c r="K20" s="207">
        <f t="shared" si="2"/>
        <v>0</v>
      </c>
      <c r="L20" s="197">
        <v>1</v>
      </c>
    </row>
    <row r="21" spans="1:12" ht="30" customHeight="1" x14ac:dyDescent="0.25">
      <c r="A21" s="470" t="str">
        <f>IF(L21=1,"NG911-"&amp;TEXT(COUNTIF($L$3:L21, "1"), "0"), "")</f>
        <v>NG911-14</v>
      </c>
      <c r="B21" s="475" t="s">
        <v>43</v>
      </c>
      <c r="C21" s="492" t="s">
        <v>866</v>
      </c>
      <c r="D21" s="488"/>
      <c r="E21" s="219"/>
      <c r="F21" s="206"/>
      <c r="G21" s="299" t="s">
        <v>101</v>
      </c>
      <c r="H21" s="491"/>
      <c r="I21" s="207">
        <f t="shared" si="0"/>
        <v>1</v>
      </c>
      <c r="J21" s="207">
        <f t="shared" si="1"/>
        <v>0</v>
      </c>
      <c r="K21" s="207">
        <f t="shared" si="2"/>
        <v>0</v>
      </c>
      <c r="L21" s="197">
        <v>1</v>
      </c>
    </row>
    <row r="22" spans="1:12" ht="30" customHeight="1" x14ac:dyDescent="0.25">
      <c r="A22" s="470" t="str">
        <f>IF(L22=1,"NG911-"&amp;TEXT(COUNTIF($L$3:L22, "1"), "0"), "")</f>
        <v>NG911-15</v>
      </c>
      <c r="B22" s="475" t="s">
        <v>43</v>
      </c>
      <c r="C22" s="492" t="s">
        <v>867</v>
      </c>
      <c r="D22" s="488"/>
      <c r="E22" s="219"/>
      <c r="F22" s="206"/>
      <c r="G22" s="299" t="s">
        <v>101</v>
      </c>
      <c r="H22" s="491"/>
      <c r="I22" s="207">
        <f t="shared" si="0"/>
        <v>1</v>
      </c>
      <c r="J22" s="207">
        <f t="shared" si="1"/>
        <v>0</v>
      </c>
      <c r="K22" s="207">
        <f t="shared" si="2"/>
        <v>0</v>
      </c>
      <c r="L22" s="197">
        <v>1</v>
      </c>
    </row>
    <row r="23" spans="1:12" ht="30" customHeight="1" x14ac:dyDescent="0.25">
      <c r="A23" s="470" t="str">
        <f>IF(L23=1,"NG911-"&amp;TEXT(COUNTIF($L$3:L23, "1"), "0"), "")</f>
        <v>NG911-16</v>
      </c>
      <c r="B23" s="475" t="s">
        <v>43</v>
      </c>
      <c r="C23" s="492" t="s">
        <v>868</v>
      </c>
      <c r="D23" s="488"/>
      <c r="E23" s="219"/>
      <c r="F23" s="206"/>
      <c r="G23" s="299" t="s">
        <v>101</v>
      </c>
      <c r="H23" s="491"/>
      <c r="I23" s="207">
        <f t="shared" si="0"/>
        <v>1</v>
      </c>
      <c r="J23" s="207">
        <f t="shared" si="1"/>
        <v>0</v>
      </c>
      <c r="K23" s="207">
        <f t="shared" si="2"/>
        <v>0</v>
      </c>
      <c r="L23" s="197">
        <v>1</v>
      </c>
    </row>
    <row r="24" spans="1:12" ht="30" customHeight="1" x14ac:dyDescent="0.25">
      <c r="A24" s="470" t="str">
        <f>IF(L24=1,"NG911-"&amp;TEXT(COUNTIF($L$3:L24, "1"), "0"), "")</f>
        <v>NG911-17</v>
      </c>
      <c r="B24" s="477" t="s">
        <v>43</v>
      </c>
      <c r="C24" s="472" t="s">
        <v>869</v>
      </c>
      <c r="D24" s="484"/>
      <c r="E24" s="229"/>
      <c r="F24" s="225"/>
      <c r="G24" s="299" t="s">
        <v>101</v>
      </c>
      <c r="H24" s="491"/>
      <c r="I24" s="207">
        <f t="shared" si="0"/>
        <v>1</v>
      </c>
      <c r="J24" s="207">
        <f t="shared" si="1"/>
        <v>0</v>
      </c>
      <c r="K24" s="207">
        <f t="shared" si="2"/>
        <v>0</v>
      </c>
      <c r="L24" s="197">
        <v>1</v>
      </c>
    </row>
    <row r="25" spans="1:12" ht="54.75" customHeight="1" x14ac:dyDescent="0.25">
      <c r="A25" s="342"/>
      <c r="B25" s="211"/>
      <c r="C25" s="485" t="s">
        <v>870</v>
      </c>
      <c r="D25" s="486"/>
      <c r="E25" s="214"/>
      <c r="F25" s="413"/>
      <c r="G25" s="850"/>
    </row>
    <row r="26" spans="1:12" ht="30" customHeight="1" x14ac:dyDescent="0.25">
      <c r="A26" s="470" t="str">
        <f>IF(L26=1,"NG911-"&amp;TEXT(COUNTIF($L$3:L26, "1"), "0"), "")</f>
        <v>NG911-18</v>
      </c>
      <c r="B26" s="471" t="s">
        <v>43</v>
      </c>
      <c r="C26" s="487" t="s">
        <v>871</v>
      </c>
      <c r="D26" s="493"/>
      <c r="E26" s="219"/>
      <c r="F26" s="226"/>
      <c r="G26" s="296" t="s">
        <v>101</v>
      </c>
      <c r="H26" s="491"/>
      <c r="I26" s="207">
        <f t="shared" ref="I26:I40" si="3">IF(NOT(ISBLANK($B26)),VLOOKUP($B26,specdata,2,FALSE()),"")</f>
        <v>1</v>
      </c>
      <c r="J26" s="207">
        <f t="shared" ref="J26:J40" si="4">VLOOKUP(G26,AvailabilityData,2,FALSE())</f>
        <v>0</v>
      </c>
      <c r="K26" s="207">
        <f t="shared" ref="K26:K40" si="5">I26*J26</f>
        <v>0</v>
      </c>
      <c r="L26" s="197">
        <v>1</v>
      </c>
    </row>
    <row r="27" spans="1:12" ht="30" customHeight="1" x14ac:dyDescent="0.25">
      <c r="A27" s="470" t="str">
        <f>IF(L27=1,"NG911-"&amp;TEXT(COUNTIF($L$3:L27, "1"), "0"), "")</f>
        <v>NG911-19</v>
      </c>
      <c r="B27" s="475" t="s">
        <v>43</v>
      </c>
      <c r="C27" s="489" t="s">
        <v>872</v>
      </c>
      <c r="D27" s="493"/>
      <c r="E27" s="219"/>
      <c r="F27" s="206"/>
      <c r="G27" s="299" t="s">
        <v>101</v>
      </c>
      <c r="H27" s="491"/>
      <c r="I27" s="207">
        <f t="shared" si="3"/>
        <v>1</v>
      </c>
      <c r="J27" s="207">
        <f t="shared" si="4"/>
        <v>0</v>
      </c>
      <c r="K27" s="207">
        <f t="shared" si="5"/>
        <v>0</v>
      </c>
      <c r="L27" s="197">
        <v>1</v>
      </c>
    </row>
    <row r="28" spans="1:12" ht="30" customHeight="1" x14ac:dyDescent="0.25">
      <c r="A28" s="470" t="str">
        <f>IF(L28=1,"NG911-"&amp;TEXT(COUNTIF($L$3:L28, "1"), "0"), "")</f>
        <v>NG911-20</v>
      </c>
      <c r="B28" s="475" t="s">
        <v>43</v>
      </c>
      <c r="C28" s="489" t="s">
        <v>873</v>
      </c>
      <c r="D28" s="493"/>
      <c r="E28" s="219"/>
      <c r="F28" s="206"/>
      <c r="G28" s="299" t="s">
        <v>101</v>
      </c>
      <c r="H28" s="491"/>
      <c r="I28" s="207">
        <f t="shared" si="3"/>
        <v>1</v>
      </c>
      <c r="J28" s="207">
        <f t="shared" si="4"/>
        <v>0</v>
      </c>
      <c r="K28" s="207">
        <f t="shared" si="5"/>
        <v>0</v>
      </c>
      <c r="L28" s="197">
        <v>1</v>
      </c>
    </row>
    <row r="29" spans="1:12" ht="30" customHeight="1" x14ac:dyDescent="0.25">
      <c r="A29" s="470" t="str">
        <f>IF(L29=1,"NG911-"&amp;TEXT(COUNTIF($L$3:L29, "1"), "0"), "")</f>
        <v>NG911-21</v>
      </c>
      <c r="B29" s="475" t="s">
        <v>43</v>
      </c>
      <c r="C29" s="489" t="s">
        <v>874</v>
      </c>
      <c r="D29" s="493"/>
      <c r="E29" s="219"/>
      <c r="F29" s="206"/>
      <c r="G29" s="299" t="s">
        <v>101</v>
      </c>
      <c r="H29" s="491"/>
      <c r="I29" s="207">
        <f t="shared" si="3"/>
        <v>1</v>
      </c>
      <c r="J29" s="207">
        <f t="shared" si="4"/>
        <v>0</v>
      </c>
      <c r="K29" s="207">
        <f t="shared" si="5"/>
        <v>0</v>
      </c>
      <c r="L29" s="197">
        <v>1</v>
      </c>
    </row>
    <row r="30" spans="1:12" ht="30" customHeight="1" x14ac:dyDescent="0.25">
      <c r="A30" s="470" t="str">
        <f>IF(L30=1,"NG911-"&amp;TEXT(COUNTIF($L$3:L30, "1"), "0"), "")</f>
        <v>NG911-22</v>
      </c>
      <c r="B30" s="475" t="s">
        <v>43</v>
      </c>
      <c r="C30" s="494" t="s">
        <v>875</v>
      </c>
      <c r="D30" s="493"/>
      <c r="E30" s="219"/>
      <c r="F30" s="206"/>
      <c r="G30" s="299" t="s">
        <v>101</v>
      </c>
      <c r="H30" s="491"/>
      <c r="I30" s="207">
        <f t="shared" si="3"/>
        <v>1</v>
      </c>
      <c r="J30" s="207">
        <f t="shared" si="4"/>
        <v>0</v>
      </c>
      <c r="K30" s="207">
        <f t="shared" si="5"/>
        <v>0</v>
      </c>
      <c r="L30" s="197">
        <v>1</v>
      </c>
    </row>
    <row r="31" spans="1:12" ht="30" customHeight="1" x14ac:dyDescent="0.25">
      <c r="A31" s="470" t="str">
        <f>IF(L31=1,"NG911-"&amp;TEXT(COUNTIF($L$3:L31, "1"), "0"), "")</f>
        <v>NG911-23</v>
      </c>
      <c r="B31" s="475" t="s">
        <v>43</v>
      </c>
      <c r="C31" s="494" t="s">
        <v>876</v>
      </c>
      <c r="D31" s="493"/>
      <c r="E31" s="219"/>
      <c r="F31" s="206"/>
      <c r="G31" s="299" t="s">
        <v>101</v>
      </c>
      <c r="H31" s="491"/>
      <c r="I31" s="207">
        <f t="shared" si="3"/>
        <v>1</v>
      </c>
      <c r="J31" s="207">
        <f t="shared" si="4"/>
        <v>0</v>
      </c>
      <c r="K31" s="207">
        <f t="shared" si="5"/>
        <v>0</v>
      </c>
      <c r="L31" s="197">
        <v>1</v>
      </c>
    </row>
    <row r="32" spans="1:12" ht="30" customHeight="1" x14ac:dyDescent="0.25">
      <c r="A32" s="470" t="str">
        <f>IF(L32=1,"NG911-"&amp;TEXT(COUNTIF($L$3:L32, "1"), "0"), "")</f>
        <v>NG911-24</v>
      </c>
      <c r="B32" s="475" t="s">
        <v>43</v>
      </c>
      <c r="C32" s="472" t="s">
        <v>877</v>
      </c>
      <c r="D32" s="495"/>
      <c r="E32" s="229"/>
      <c r="F32" s="225"/>
      <c r="G32" s="293" t="s">
        <v>101</v>
      </c>
      <c r="H32" s="491"/>
      <c r="I32" s="207">
        <f t="shared" si="3"/>
        <v>1</v>
      </c>
      <c r="J32" s="207">
        <f t="shared" si="4"/>
        <v>0</v>
      </c>
      <c r="K32" s="207">
        <f t="shared" si="5"/>
        <v>0</v>
      </c>
      <c r="L32" s="197">
        <v>1</v>
      </c>
    </row>
    <row r="33" spans="1:12" ht="30" customHeight="1" x14ac:dyDescent="0.25">
      <c r="A33" s="470" t="str">
        <f>IF(L33=1,"NG911-"&amp;TEXT(COUNTIF($L$3:L33, "1"), "0"), "")</f>
        <v>NG911-25</v>
      </c>
      <c r="B33" s="475" t="s">
        <v>43</v>
      </c>
      <c r="C33" s="494" t="s">
        <v>878</v>
      </c>
      <c r="D33" s="496"/>
      <c r="E33" s="229"/>
      <c r="F33" s="225"/>
      <c r="G33" s="293" t="s">
        <v>101</v>
      </c>
      <c r="H33" s="491"/>
      <c r="I33" s="207">
        <f t="shared" si="3"/>
        <v>1</v>
      </c>
      <c r="J33" s="207">
        <f t="shared" si="4"/>
        <v>0</v>
      </c>
      <c r="K33" s="207">
        <f t="shared" si="5"/>
        <v>0</v>
      </c>
      <c r="L33" s="197">
        <v>1</v>
      </c>
    </row>
    <row r="34" spans="1:12" ht="30" customHeight="1" x14ac:dyDescent="0.25">
      <c r="A34" s="470" t="str">
        <f>IF(L34=1,"NG911-"&amp;TEXT(COUNTIF($L$3:L34, "1"), "0"), "")</f>
        <v>NG911-26</v>
      </c>
      <c r="B34" s="475" t="s">
        <v>43</v>
      </c>
      <c r="C34" s="365" t="s">
        <v>879</v>
      </c>
      <c r="D34" s="218"/>
      <c r="E34" s="219"/>
      <c r="F34" s="206"/>
      <c r="G34" s="299" t="s">
        <v>101</v>
      </c>
      <c r="H34" s="491"/>
      <c r="I34" s="207">
        <f t="shared" si="3"/>
        <v>1</v>
      </c>
      <c r="J34" s="207">
        <f t="shared" si="4"/>
        <v>0</v>
      </c>
      <c r="K34" s="207">
        <f t="shared" si="5"/>
        <v>0</v>
      </c>
      <c r="L34" s="197">
        <v>1</v>
      </c>
    </row>
    <row r="35" spans="1:12" ht="30" customHeight="1" x14ac:dyDescent="0.25">
      <c r="A35" s="470" t="str">
        <f>IF(L35=1,"NG911-"&amp;TEXT(COUNTIF($L$3:L35, "1"), "0"), "")</f>
        <v>NG911-27</v>
      </c>
      <c r="B35" s="475" t="s">
        <v>43</v>
      </c>
      <c r="C35" s="336" t="s">
        <v>880</v>
      </c>
      <c r="D35" s="218"/>
      <c r="E35" s="219"/>
      <c r="F35" s="206"/>
      <c r="G35" s="299" t="s">
        <v>101</v>
      </c>
      <c r="H35" s="491"/>
      <c r="I35" s="207">
        <f t="shared" si="3"/>
        <v>1</v>
      </c>
      <c r="J35" s="207">
        <f t="shared" si="4"/>
        <v>0</v>
      </c>
      <c r="K35" s="207">
        <f t="shared" si="5"/>
        <v>0</v>
      </c>
      <c r="L35" s="197">
        <v>1</v>
      </c>
    </row>
    <row r="36" spans="1:12" ht="30" customHeight="1" x14ac:dyDescent="0.25">
      <c r="A36" s="470" t="str">
        <f>IF(L36=1,"NG911-"&amp;TEXT(COUNTIF($L$3:L36, "1"), "0"), "")</f>
        <v>NG911-28</v>
      </c>
      <c r="B36" s="475" t="s">
        <v>43</v>
      </c>
      <c r="C36" s="336" t="s">
        <v>881</v>
      </c>
      <c r="D36" s="218"/>
      <c r="E36" s="219"/>
      <c r="F36" s="206"/>
      <c r="G36" s="299" t="s">
        <v>101</v>
      </c>
      <c r="H36" s="491"/>
      <c r="I36" s="207">
        <f t="shared" si="3"/>
        <v>1</v>
      </c>
      <c r="J36" s="207">
        <f t="shared" si="4"/>
        <v>0</v>
      </c>
      <c r="K36" s="207">
        <f t="shared" si="5"/>
        <v>0</v>
      </c>
      <c r="L36" s="197">
        <v>1</v>
      </c>
    </row>
    <row r="37" spans="1:12" ht="30" customHeight="1" x14ac:dyDescent="0.25">
      <c r="A37" s="470" t="str">
        <f>IF(L37=1,"NG911-"&amp;TEXT(COUNTIF($L$3:L37, "1"), "0"), "")</f>
        <v>NG911-29</v>
      </c>
      <c r="B37" s="475" t="s">
        <v>43</v>
      </c>
      <c r="C37" s="336" t="s">
        <v>882</v>
      </c>
      <c r="D37" s="218"/>
      <c r="E37" s="219"/>
      <c r="F37" s="206"/>
      <c r="G37" s="299" t="s">
        <v>101</v>
      </c>
      <c r="H37" s="491"/>
      <c r="I37" s="207">
        <f t="shared" si="3"/>
        <v>1</v>
      </c>
      <c r="J37" s="207">
        <f t="shared" si="4"/>
        <v>0</v>
      </c>
      <c r="K37" s="207">
        <f t="shared" si="5"/>
        <v>0</v>
      </c>
      <c r="L37" s="197">
        <v>1</v>
      </c>
    </row>
    <row r="38" spans="1:12" ht="30" customHeight="1" x14ac:dyDescent="0.25">
      <c r="A38" s="470" t="str">
        <f>IF(L38=1,"NG911-"&amp;TEXT(COUNTIF($L$3:L38, "1"), "0"), "")</f>
        <v>NG911-30</v>
      </c>
      <c r="B38" s="475" t="s">
        <v>43</v>
      </c>
      <c r="C38" s="336" t="s">
        <v>883</v>
      </c>
      <c r="D38" s="218"/>
      <c r="E38" s="219"/>
      <c r="F38" s="206"/>
      <c r="G38" s="299" t="s">
        <v>101</v>
      </c>
      <c r="H38" s="491"/>
      <c r="I38" s="207">
        <f t="shared" si="3"/>
        <v>1</v>
      </c>
      <c r="J38" s="207">
        <f t="shared" si="4"/>
        <v>0</v>
      </c>
      <c r="K38" s="207">
        <f t="shared" si="5"/>
        <v>0</v>
      </c>
      <c r="L38" s="197">
        <v>1</v>
      </c>
    </row>
    <row r="39" spans="1:12" ht="30" customHeight="1" x14ac:dyDescent="0.25">
      <c r="A39" s="470" t="str">
        <f>IF(L39=1,"NG911-"&amp;TEXT(COUNTIF($L$3:L39, "1"), "0"), "")</f>
        <v>NG911-31</v>
      </c>
      <c r="B39" s="475" t="s">
        <v>43</v>
      </c>
      <c r="C39" s="336" t="s">
        <v>884</v>
      </c>
      <c r="D39" s="218"/>
      <c r="E39" s="219"/>
      <c r="F39" s="206"/>
      <c r="G39" s="299" t="s">
        <v>101</v>
      </c>
      <c r="H39" s="491"/>
      <c r="I39" s="207">
        <f t="shared" si="3"/>
        <v>1</v>
      </c>
      <c r="J39" s="207">
        <f t="shared" si="4"/>
        <v>0</v>
      </c>
      <c r="K39" s="207">
        <f t="shared" si="5"/>
        <v>0</v>
      </c>
      <c r="L39" s="197">
        <v>1</v>
      </c>
    </row>
    <row r="40" spans="1:12" ht="30" customHeight="1" x14ac:dyDescent="0.25">
      <c r="A40" s="470" t="str">
        <f>IF(L40=1,"NG911-"&amp;TEXT(COUNTIF($L$3:L40, "1"), "0"), "")</f>
        <v>NG911-32</v>
      </c>
      <c r="B40" s="477" t="s">
        <v>43</v>
      </c>
      <c r="C40" s="337" t="s">
        <v>885</v>
      </c>
      <c r="D40" s="228"/>
      <c r="E40" s="229"/>
      <c r="F40" s="225"/>
      <c r="G40" s="299" t="s">
        <v>101</v>
      </c>
      <c r="H40" s="491"/>
      <c r="I40" s="207">
        <f t="shared" si="3"/>
        <v>1</v>
      </c>
      <c r="J40" s="207">
        <f t="shared" si="4"/>
        <v>0</v>
      </c>
      <c r="K40" s="207">
        <f t="shared" si="5"/>
        <v>0</v>
      </c>
      <c r="L40" s="197">
        <v>1</v>
      </c>
    </row>
    <row r="41" spans="1:12" x14ac:dyDescent="0.25">
      <c r="A41" s="342"/>
      <c r="B41" s="211"/>
      <c r="C41" s="497" t="s">
        <v>886</v>
      </c>
      <c r="D41" s="213"/>
      <c r="E41" s="214"/>
      <c r="F41" s="413"/>
      <c r="G41" s="850"/>
    </row>
    <row r="42" spans="1:12" ht="30" customHeight="1" x14ac:dyDescent="0.25">
      <c r="A42" s="470" t="str">
        <f>IF(L42=1,"NG911-"&amp;TEXT(COUNTIF($L$3:L42, "1"), "0"), "")</f>
        <v>NG911-33</v>
      </c>
      <c r="B42" s="471" t="s">
        <v>43</v>
      </c>
      <c r="C42" s="498" t="s">
        <v>887</v>
      </c>
      <c r="D42" s="228"/>
      <c r="E42" s="229"/>
      <c r="F42" s="436"/>
      <c r="G42" s="299" t="s">
        <v>101</v>
      </c>
      <c r="H42" s="491"/>
      <c r="I42" s="207">
        <f>IF(NOT(ISBLANK($B42)),VLOOKUP($B42,specdata,2,FALSE()),"")</f>
        <v>1</v>
      </c>
      <c r="J42" s="207">
        <f>VLOOKUP(G42,AvailabilityData,2,FALSE())</f>
        <v>0</v>
      </c>
      <c r="K42" s="207">
        <f>I42*J42</f>
        <v>0</v>
      </c>
      <c r="L42" s="197">
        <v>1</v>
      </c>
    </row>
    <row r="43" spans="1:12" x14ac:dyDescent="0.25">
      <c r="A43" s="342"/>
      <c r="B43" s="211"/>
      <c r="C43" s="497" t="s">
        <v>888</v>
      </c>
      <c r="D43" s="213"/>
      <c r="E43" s="214"/>
      <c r="F43" s="413"/>
      <c r="G43" s="850"/>
    </row>
    <row r="44" spans="1:12" ht="30" customHeight="1" x14ac:dyDescent="0.25">
      <c r="A44" s="470" t="str">
        <f>IF(L44=1,"NG911-"&amp;TEXT(COUNTIF($L$3:L44, "1"), "0"), "")</f>
        <v>NG911-34</v>
      </c>
      <c r="B44" s="471" t="s">
        <v>43</v>
      </c>
      <c r="C44" s="365" t="s">
        <v>889</v>
      </c>
      <c r="D44" s="218"/>
      <c r="E44" s="219"/>
      <c r="F44" s="226"/>
      <c r="G44" s="296" t="s">
        <v>101</v>
      </c>
      <c r="H44" s="491"/>
      <c r="I44" s="207">
        <f>IF(NOT(ISBLANK($B44)),VLOOKUP($B44,specdata,2,FALSE()),"")</f>
        <v>1</v>
      </c>
      <c r="J44" s="207">
        <f>VLOOKUP(G44,AvailabilityData,2,FALSE())</f>
        <v>0</v>
      </c>
      <c r="K44" s="207">
        <f>I44*J44</f>
        <v>0</v>
      </c>
      <c r="L44" s="197">
        <v>1</v>
      </c>
    </row>
    <row r="45" spans="1:12" ht="30" customHeight="1" x14ac:dyDescent="0.25">
      <c r="A45" s="470" t="str">
        <f>IF(L45=1,"NG911-"&amp;TEXT(COUNTIF($L$3:L45, "1"), "0"), "")</f>
        <v>NG911-35</v>
      </c>
      <c r="B45" s="475" t="s">
        <v>43</v>
      </c>
      <c r="C45" s="336" t="s">
        <v>890</v>
      </c>
      <c r="D45" s="218"/>
      <c r="E45" s="219"/>
      <c r="F45" s="206"/>
      <c r="G45" s="299" t="s">
        <v>101</v>
      </c>
      <c r="H45" s="491"/>
      <c r="I45" s="207">
        <f>IF(NOT(ISBLANK($B45)),VLOOKUP($B45,specdata,2,FALSE()),"")</f>
        <v>1</v>
      </c>
      <c r="J45" s="207">
        <f>VLOOKUP(G45,AvailabilityData,2,FALSE())</f>
        <v>0</v>
      </c>
      <c r="K45" s="207">
        <f>I45*J45</f>
        <v>0</v>
      </c>
      <c r="L45" s="197">
        <v>1</v>
      </c>
    </row>
    <row r="46" spans="1:12" ht="30" customHeight="1" x14ac:dyDescent="0.25">
      <c r="A46" s="470" t="str">
        <f>IF(L46=1,"NG911-"&amp;TEXT(COUNTIF($L$3:L46, "1"), "0"), "")</f>
        <v>NG911-36</v>
      </c>
      <c r="B46" s="477" t="s">
        <v>43</v>
      </c>
      <c r="C46" s="337" t="s">
        <v>891</v>
      </c>
      <c r="D46" s="228"/>
      <c r="E46" s="229"/>
      <c r="F46" s="225"/>
      <c r="G46" s="299" t="s">
        <v>101</v>
      </c>
      <c r="H46" s="491"/>
      <c r="I46" s="207">
        <f>IF(NOT(ISBLANK($B46)),VLOOKUP($B46,specdata,2,FALSE()),"")</f>
        <v>1</v>
      </c>
      <c r="J46" s="207">
        <f>VLOOKUP(G46,AvailabilityData,2,FALSE())</f>
        <v>0</v>
      </c>
      <c r="K46" s="207">
        <f>I46*J46</f>
        <v>0</v>
      </c>
      <c r="L46" s="197">
        <v>1</v>
      </c>
    </row>
    <row r="47" spans="1:12" ht="21" customHeight="1" x14ac:dyDescent="0.25">
      <c r="A47" s="342"/>
      <c r="B47" s="211"/>
      <c r="C47" s="364" t="s">
        <v>892</v>
      </c>
      <c r="D47" s="213"/>
      <c r="E47" s="214"/>
      <c r="F47" s="413"/>
      <c r="G47" s="850"/>
    </row>
    <row r="48" spans="1:12" ht="30" customHeight="1" x14ac:dyDescent="0.25">
      <c r="A48" s="470" t="str">
        <f>IF(L48=1,"NG911-"&amp;TEXT(COUNTIF($L$3:L48, "1"), "0"), "")</f>
        <v>NG911-37</v>
      </c>
      <c r="B48" s="471" t="s">
        <v>43</v>
      </c>
      <c r="C48" s="217" t="s">
        <v>893</v>
      </c>
      <c r="D48" s="218"/>
      <c r="E48" s="219"/>
      <c r="F48" s="226"/>
      <c r="G48" s="296" t="s">
        <v>101</v>
      </c>
      <c r="H48" s="491"/>
      <c r="I48" s="207">
        <f>IF(NOT(ISBLANK($B48)),VLOOKUP($B48,specdata,2,FALSE()),"")</f>
        <v>1</v>
      </c>
      <c r="J48" s="207">
        <f>VLOOKUP(G48,AvailabilityData,2,FALSE())</f>
        <v>0</v>
      </c>
      <c r="K48" s="207">
        <f>I48*J48</f>
        <v>0</v>
      </c>
      <c r="L48" s="197">
        <v>1</v>
      </c>
    </row>
    <row r="49" spans="1:12" ht="30" customHeight="1" x14ac:dyDescent="0.25">
      <c r="A49" s="470" t="str">
        <f>IF(L49=1,"NG911-"&amp;TEXT(COUNTIF($L$3:L49, "1"), "0"), "")</f>
        <v>NG911-38</v>
      </c>
      <c r="B49" s="475" t="s">
        <v>43</v>
      </c>
      <c r="C49" s="221" t="s">
        <v>894</v>
      </c>
      <c r="D49" s="218"/>
      <c r="E49" s="219"/>
      <c r="F49" s="206"/>
      <c r="G49" s="299" t="s">
        <v>101</v>
      </c>
      <c r="H49" s="491"/>
      <c r="I49" s="207">
        <f>IF(NOT(ISBLANK($B49)),VLOOKUP($B49,specdata,2,FALSE()),"")</f>
        <v>1</v>
      </c>
      <c r="J49" s="207">
        <f>VLOOKUP(G49,AvailabilityData,2,FALSE())</f>
        <v>0</v>
      </c>
      <c r="K49" s="207">
        <f>I49*J49</f>
        <v>0</v>
      </c>
      <c r="L49" s="197">
        <v>1</v>
      </c>
    </row>
    <row r="50" spans="1:12" ht="30" customHeight="1" x14ac:dyDescent="0.25">
      <c r="A50" s="470" t="str">
        <f>IF(L50=1,"NG911-"&amp;TEXT(COUNTIF($L$3:L50, "1"), "0"), "")</f>
        <v>NG911-39</v>
      </c>
      <c r="B50" s="475" t="s">
        <v>43</v>
      </c>
      <c r="C50" s="221" t="s">
        <v>895</v>
      </c>
      <c r="D50" s="218"/>
      <c r="E50" s="219"/>
      <c r="F50" s="206"/>
      <c r="G50" s="299" t="s">
        <v>101</v>
      </c>
      <c r="H50" s="491"/>
      <c r="I50" s="207">
        <f>IF(NOT(ISBLANK($B50)),VLOOKUP($B50,specdata,2,FALSE()),"")</f>
        <v>1</v>
      </c>
      <c r="J50" s="207">
        <f>VLOOKUP(G50,AvailabilityData,2,FALSE())</f>
        <v>0</v>
      </c>
      <c r="K50" s="207">
        <f>I50*J50</f>
        <v>0</v>
      </c>
      <c r="L50" s="197">
        <v>1</v>
      </c>
    </row>
    <row r="51" spans="1:12" ht="30" customHeight="1" x14ac:dyDescent="0.25">
      <c r="A51" s="470" t="str">
        <f>IF(L51=1,"NG911-"&amp;TEXT(COUNTIF($L$3:L51, "1"), "0"), "")</f>
        <v>NG911-40</v>
      </c>
      <c r="B51" s="477" t="s">
        <v>43</v>
      </c>
      <c r="C51" s="222" t="s">
        <v>896</v>
      </c>
      <c r="D51" s="358"/>
      <c r="E51" s="229"/>
      <c r="F51" s="225"/>
      <c r="G51" s="299" t="s">
        <v>101</v>
      </c>
      <c r="H51" s="491"/>
      <c r="I51" s="207">
        <f>IF(NOT(ISBLANK($B51)),VLOOKUP($B51,specdata,2,FALSE()),"")</f>
        <v>1</v>
      </c>
      <c r="J51" s="207">
        <f>VLOOKUP(G51,AvailabilityData,2,FALSE())</f>
        <v>0</v>
      </c>
      <c r="K51" s="207">
        <f>I51*J51</f>
        <v>0</v>
      </c>
      <c r="L51" s="197">
        <v>1</v>
      </c>
    </row>
    <row r="52" spans="1:12" x14ac:dyDescent="0.25">
      <c r="A52" s="342"/>
      <c r="B52" s="211"/>
      <c r="C52" s="497" t="s">
        <v>852</v>
      </c>
      <c r="D52" s="294"/>
      <c r="E52" s="214"/>
      <c r="F52" s="413"/>
      <c r="G52" s="850"/>
    </row>
    <row r="53" spans="1:12" ht="30" customHeight="1" x14ac:dyDescent="0.25">
      <c r="A53" s="470" t="str">
        <f>IF(L53=1,"NG911-"&amp;TEXT(COUNTIF($L$3:L53, "1"), "0"), "")</f>
        <v>NG911-41</v>
      </c>
      <c r="B53" s="471" t="s">
        <v>43</v>
      </c>
      <c r="C53" s="365" t="s">
        <v>897</v>
      </c>
      <c r="D53" s="218"/>
      <c r="E53" s="219"/>
      <c r="F53" s="226"/>
      <c r="G53" s="296" t="s">
        <v>101</v>
      </c>
      <c r="H53" s="491"/>
      <c r="I53" s="207">
        <f>IF(NOT(ISBLANK($B53)),VLOOKUP($B53,specdata,2,FALSE()),"")</f>
        <v>1</v>
      </c>
      <c r="J53" s="207">
        <f>VLOOKUP(G53,AvailabilityData,2,FALSE())</f>
        <v>0</v>
      </c>
      <c r="K53" s="207">
        <f>I53*J53</f>
        <v>0</v>
      </c>
      <c r="L53" s="197">
        <v>1</v>
      </c>
    </row>
    <row r="54" spans="1:12" ht="27.6" x14ac:dyDescent="0.25">
      <c r="A54" s="470" t="str">
        <f>IF(L54=1,"NG911-"&amp;TEXT(COUNTIF($L$3:L54, "1"), "0"), "")</f>
        <v>NG911-42</v>
      </c>
      <c r="B54" s="475" t="s">
        <v>43</v>
      </c>
      <c r="C54" s="336" t="s">
        <v>898</v>
      </c>
      <c r="D54" s="218"/>
      <c r="E54" s="219"/>
      <c r="F54" s="206"/>
      <c r="G54" s="299" t="s">
        <v>101</v>
      </c>
      <c r="H54" s="491"/>
      <c r="I54" s="207">
        <f>IF(NOT(ISBLANK($B54)),VLOOKUP($B54,specdata,2,FALSE()),"")</f>
        <v>1</v>
      </c>
      <c r="J54" s="207">
        <f>VLOOKUP(G54,AvailabilityData,2,FALSE())</f>
        <v>0</v>
      </c>
      <c r="K54" s="207">
        <f>I54*J54</f>
        <v>0</v>
      </c>
      <c r="L54" s="197">
        <v>1</v>
      </c>
    </row>
    <row r="55" spans="1:12" ht="27.6" x14ac:dyDescent="0.25">
      <c r="A55" s="470" t="str">
        <f>IF(L55=1,"NG911-"&amp;TEXT(COUNTIF($L$3:L55, "1"), "0"), "")</f>
        <v>NG911-43</v>
      </c>
      <c r="B55" s="475" t="s">
        <v>43</v>
      </c>
      <c r="C55" s="336" t="s">
        <v>899</v>
      </c>
      <c r="D55" s="218"/>
      <c r="E55" s="219"/>
      <c r="F55" s="206"/>
      <c r="G55" s="299" t="s">
        <v>101</v>
      </c>
      <c r="H55" s="491"/>
      <c r="I55" s="207">
        <f>IF(NOT(ISBLANK($B55)),VLOOKUP($B55,specdata,2,FALSE()),"")</f>
        <v>1</v>
      </c>
      <c r="J55" s="207">
        <f>VLOOKUP(G55,AvailabilityData,2,FALSE())</f>
        <v>0</v>
      </c>
      <c r="K55" s="207">
        <f>I55*J55</f>
        <v>0</v>
      </c>
      <c r="L55" s="197">
        <v>1</v>
      </c>
    </row>
    <row r="56" spans="1:12" ht="30" customHeight="1" x14ac:dyDescent="0.25">
      <c r="A56" s="470" t="str">
        <f>IF(L56=1,"NG911-"&amp;TEXT(COUNTIF($L$3:L56, "1"), "0"), "")</f>
        <v>NG911-44</v>
      </c>
      <c r="B56" s="477" t="s">
        <v>43</v>
      </c>
      <c r="C56" s="337" t="s">
        <v>900</v>
      </c>
      <c r="D56" s="228"/>
      <c r="E56" s="229"/>
      <c r="F56" s="225"/>
      <c r="G56" s="299" t="s">
        <v>101</v>
      </c>
      <c r="H56" s="491"/>
      <c r="I56" s="207">
        <f>IF(NOT(ISBLANK($B56)),VLOOKUP($B56,specdata,2,FALSE()),"")</f>
        <v>1</v>
      </c>
      <c r="J56" s="207">
        <f>VLOOKUP(G56,AvailabilityData,2,FALSE())</f>
        <v>0</v>
      </c>
      <c r="K56" s="207">
        <f>I56*J56</f>
        <v>0</v>
      </c>
      <c r="L56" s="197">
        <v>1</v>
      </c>
    </row>
    <row r="57" spans="1:12" x14ac:dyDescent="0.25">
      <c r="A57" s="342"/>
      <c r="B57" s="211"/>
      <c r="C57" s="497" t="s">
        <v>901</v>
      </c>
      <c r="D57" s="213"/>
      <c r="E57" s="214"/>
      <c r="F57" s="413"/>
      <c r="G57" s="850"/>
    </row>
    <row r="58" spans="1:12" ht="41.4" x14ac:dyDescent="0.25">
      <c r="A58" s="470" t="str">
        <f>IF(L58=1,"NG911-"&amp;TEXT(COUNTIF($L$3:L58, "1"), "0"), "")</f>
        <v>NG911-45</v>
      </c>
      <c r="B58" s="471" t="s">
        <v>43</v>
      </c>
      <c r="C58" s="498" t="s">
        <v>902</v>
      </c>
      <c r="D58" s="228"/>
      <c r="E58" s="229"/>
      <c r="F58" s="436"/>
      <c r="G58" s="299" t="s">
        <v>101</v>
      </c>
      <c r="H58" s="491"/>
      <c r="I58" s="207">
        <f>IF(NOT(ISBLANK($B58)),VLOOKUP($B58,specdata,2,FALSE()),"")</f>
        <v>1</v>
      </c>
      <c r="J58" s="207">
        <f>VLOOKUP(G58,AvailabilityData,2,FALSE())</f>
        <v>0</v>
      </c>
      <c r="K58" s="207">
        <f>I58*J58</f>
        <v>0</v>
      </c>
      <c r="L58" s="197">
        <v>1</v>
      </c>
    </row>
    <row r="59" spans="1:12" ht="30" customHeight="1" x14ac:dyDescent="0.25">
      <c r="A59" s="342"/>
      <c r="B59" s="211"/>
      <c r="C59" s="364" t="s">
        <v>903</v>
      </c>
      <c r="D59" s="213"/>
      <c r="E59" s="214"/>
      <c r="F59" s="413"/>
      <c r="G59" s="850"/>
    </row>
    <row r="60" spans="1:12" ht="30" customHeight="1" x14ac:dyDescent="0.25">
      <c r="A60" s="470" t="str">
        <f>IF(L60=1,"NG911-"&amp;TEXT(COUNTIF($L$3:L60, "1"), "0"), "")</f>
        <v>NG911-46</v>
      </c>
      <c r="B60" s="471" t="s">
        <v>43</v>
      </c>
      <c r="C60" s="217" t="s">
        <v>904</v>
      </c>
      <c r="D60" s="218"/>
      <c r="E60" s="219"/>
      <c r="F60" s="226"/>
      <c r="G60" s="296" t="s">
        <v>101</v>
      </c>
      <c r="H60" s="491"/>
      <c r="I60" s="207">
        <f t="shared" ref="I60:I73" si="6">IF(NOT(ISBLANK($B60)),VLOOKUP($B60,specdata,2,FALSE()),"")</f>
        <v>1</v>
      </c>
      <c r="J60" s="207">
        <f t="shared" ref="J60:J73" si="7">VLOOKUP(G60,AvailabilityData,2,FALSE())</f>
        <v>0</v>
      </c>
      <c r="K60" s="207">
        <f t="shared" ref="K60:K73" si="8">I60*J60</f>
        <v>0</v>
      </c>
      <c r="L60" s="197">
        <v>1</v>
      </c>
    </row>
    <row r="61" spans="1:12" ht="30" customHeight="1" x14ac:dyDescent="0.25">
      <c r="A61" s="470" t="str">
        <f>IF(L61=1,"NG911-"&amp;TEXT(COUNTIF($L$3:L61, "1"), "0"), "")</f>
        <v>NG911-47</v>
      </c>
      <c r="B61" s="475" t="s">
        <v>43</v>
      </c>
      <c r="C61" s="217" t="s">
        <v>905</v>
      </c>
      <c r="D61" s="218"/>
      <c r="E61" s="219"/>
      <c r="F61" s="206"/>
      <c r="G61" s="299" t="s">
        <v>101</v>
      </c>
      <c r="H61" s="491"/>
      <c r="I61" s="207">
        <f t="shared" si="6"/>
        <v>1</v>
      </c>
      <c r="J61" s="207">
        <f t="shared" si="7"/>
        <v>0</v>
      </c>
      <c r="K61" s="207">
        <f t="shared" si="8"/>
        <v>0</v>
      </c>
      <c r="L61" s="197">
        <v>1</v>
      </c>
    </row>
    <row r="62" spans="1:12" ht="30" customHeight="1" x14ac:dyDescent="0.25">
      <c r="A62" s="470" t="str">
        <f>IF(L62=1,"NG911-"&amp;TEXT(COUNTIF($L$3:L62, "1"), "0"), "")</f>
        <v>NG911-48</v>
      </c>
      <c r="B62" s="475" t="s">
        <v>43</v>
      </c>
      <c r="C62" s="221" t="s">
        <v>906</v>
      </c>
      <c r="D62" s="218"/>
      <c r="E62" s="219"/>
      <c r="F62" s="206"/>
      <c r="G62" s="299" t="s">
        <v>101</v>
      </c>
      <c r="H62" s="491"/>
      <c r="I62" s="207">
        <f t="shared" si="6"/>
        <v>1</v>
      </c>
      <c r="J62" s="207">
        <f t="shared" si="7"/>
        <v>0</v>
      </c>
      <c r="K62" s="207">
        <f t="shared" si="8"/>
        <v>0</v>
      </c>
      <c r="L62" s="197">
        <v>1</v>
      </c>
    </row>
    <row r="63" spans="1:12" ht="30" customHeight="1" x14ac:dyDescent="0.25">
      <c r="A63" s="470" t="str">
        <f>IF(L63=1,"NG911-"&amp;TEXT(COUNTIF($L$3:L63, "1"), "0"), "")</f>
        <v>NG911-49</v>
      </c>
      <c r="B63" s="475" t="s">
        <v>43</v>
      </c>
      <c r="C63" s="221" t="s">
        <v>907</v>
      </c>
      <c r="D63" s="218"/>
      <c r="E63" s="219"/>
      <c r="F63" s="206"/>
      <c r="G63" s="299" t="s">
        <v>101</v>
      </c>
      <c r="H63" s="491"/>
      <c r="I63" s="207">
        <f t="shared" si="6"/>
        <v>1</v>
      </c>
      <c r="J63" s="207">
        <f t="shared" si="7"/>
        <v>0</v>
      </c>
      <c r="K63" s="207">
        <f t="shared" si="8"/>
        <v>0</v>
      </c>
      <c r="L63" s="197">
        <v>1</v>
      </c>
    </row>
    <row r="64" spans="1:12" ht="30" customHeight="1" x14ac:dyDescent="0.25">
      <c r="A64" s="470" t="str">
        <f>IF(L64=1,"NG911-"&amp;TEXT(COUNTIF($L$3:L64, "1"), "0"), "")</f>
        <v>NG911-50</v>
      </c>
      <c r="B64" s="475" t="s">
        <v>43</v>
      </c>
      <c r="C64" s="336" t="s">
        <v>908</v>
      </c>
      <c r="D64" s="218"/>
      <c r="E64" s="219"/>
      <c r="F64" s="206"/>
      <c r="G64" s="299" t="s">
        <v>101</v>
      </c>
      <c r="H64" s="491"/>
      <c r="I64" s="207">
        <f t="shared" si="6"/>
        <v>1</v>
      </c>
      <c r="J64" s="207">
        <f t="shared" si="7"/>
        <v>0</v>
      </c>
      <c r="K64" s="207">
        <f t="shared" si="8"/>
        <v>0</v>
      </c>
      <c r="L64" s="197">
        <v>1</v>
      </c>
    </row>
    <row r="65" spans="1:12" ht="30" customHeight="1" x14ac:dyDescent="0.25">
      <c r="A65" s="470" t="str">
        <f>IF(L65=1,"NG911-"&amp;TEXT(COUNTIF($L$3:L65, "1"), "0"), "")</f>
        <v>NG911-51</v>
      </c>
      <c r="B65" s="475" t="s">
        <v>43</v>
      </c>
      <c r="C65" s="336" t="s">
        <v>909</v>
      </c>
      <c r="D65" s="218"/>
      <c r="E65" s="219"/>
      <c r="F65" s="206"/>
      <c r="G65" s="299" t="s">
        <v>101</v>
      </c>
      <c r="H65" s="491"/>
      <c r="I65" s="207">
        <f t="shared" si="6"/>
        <v>1</v>
      </c>
      <c r="J65" s="207">
        <f t="shared" si="7"/>
        <v>0</v>
      </c>
      <c r="K65" s="207">
        <f t="shared" si="8"/>
        <v>0</v>
      </c>
      <c r="L65" s="197">
        <v>1</v>
      </c>
    </row>
    <row r="66" spans="1:12" ht="30" customHeight="1" x14ac:dyDescent="0.25">
      <c r="A66" s="470" t="str">
        <f>IF(L66=1,"NG911-"&amp;TEXT(COUNTIF($L$3:L66, "1"), "0"), "")</f>
        <v>NG911-52</v>
      </c>
      <c r="B66" s="475" t="s">
        <v>43</v>
      </c>
      <c r="C66" s="472" t="s">
        <v>910</v>
      </c>
      <c r="D66" s="218"/>
      <c r="E66" s="219"/>
      <c r="F66" s="206"/>
      <c r="G66" s="299" t="s">
        <v>101</v>
      </c>
      <c r="H66" s="491"/>
      <c r="I66" s="207">
        <f t="shared" si="6"/>
        <v>1</v>
      </c>
      <c r="J66" s="207">
        <f t="shared" si="7"/>
        <v>0</v>
      </c>
      <c r="K66" s="207">
        <f t="shared" si="8"/>
        <v>0</v>
      </c>
      <c r="L66" s="197">
        <v>1</v>
      </c>
    </row>
    <row r="67" spans="1:12" ht="30" customHeight="1" x14ac:dyDescent="0.25">
      <c r="A67" s="470" t="str">
        <f>IF(L67=1,"NG911-"&amp;TEXT(COUNTIF($L$3:L67, "1"), "0"), "")</f>
        <v>NG911-53</v>
      </c>
      <c r="B67" s="475" t="s">
        <v>43</v>
      </c>
      <c r="C67" s="336" t="s">
        <v>911</v>
      </c>
      <c r="D67" s="295"/>
      <c r="E67" s="219"/>
      <c r="F67" s="206"/>
      <c r="G67" s="299" t="s">
        <v>101</v>
      </c>
      <c r="H67" s="491"/>
      <c r="I67" s="207">
        <f t="shared" si="6"/>
        <v>1</v>
      </c>
      <c r="J67" s="207">
        <f t="shared" si="7"/>
        <v>0</v>
      </c>
      <c r="K67" s="207">
        <f t="shared" si="8"/>
        <v>0</v>
      </c>
      <c r="L67" s="197">
        <v>1</v>
      </c>
    </row>
    <row r="68" spans="1:12" ht="30" customHeight="1" x14ac:dyDescent="0.25">
      <c r="A68" s="470" t="str">
        <f>IF(L68=1,"NG911-"&amp;TEXT(COUNTIF($L$3:L68, "1"), "0"), "")</f>
        <v>NG911-54</v>
      </c>
      <c r="B68" s="471" t="s">
        <v>43</v>
      </c>
      <c r="C68" s="336" t="s">
        <v>912</v>
      </c>
      <c r="D68" s="295"/>
      <c r="E68" s="219"/>
      <c r="F68" s="206"/>
      <c r="G68" s="299" t="s">
        <v>101</v>
      </c>
      <c r="I68" s="207">
        <f t="shared" si="6"/>
        <v>1</v>
      </c>
      <c r="J68" s="207">
        <f t="shared" si="7"/>
        <v>0</v>
      </c>
      <c r="K68" s="207">
        <f t="shared" si="8"/>
        <v>0</v>
      </c>
      <c r="L68" s="197">
        <v>1</v>
      </c>
    </row>
    <row r="69" spans="1:12" ht="30" customHeight="1" x14ac:dyDescent="0.25">
      <c r="A69" s="470" t="str">
        <f>IF(L69=1,"NG911-"&amp;TEXT(COUNTIF($L$3:L69, "1"), "0"), "")</f>
        <v>NG911-55</v>
      </c>
      <c r="B69" s="471" t="s">
        <v>43</v>
      </c>
      <c r="C69" s="337" t="s">
        <v>913</v>
      </c>
      <c r="D69" s="295"/>
      <c r="E69" s="219"/>
      <c r="F69" s="206"/>
      <c r="G69" s="299" t="s">
        <v>101</v>
      </c>
      <c r="I69" s="207">
        <f t="shared" si="6"/>
        <v>1</v>
      </c>
      <c r="J69" s="207">
        <f t="shared" si="7"/>
        <v>0</v>
      </c>
      <c r="K69" s="207">
        <f t="shared" si="8"/>
        <v>0</v>
      </c>
      <c r="L69" s="197">
        <v>1</v>
      </c>
    </row>
    <row r="70" spans="1:12" ht="30" customHeight="1" x14ac:dyDescent="0.25">
      <c r="A70" s="470" t="str">
        <f>IF(L70=1,"NG911-"&amp;TEXT(COUNTIF($L$3:L70, "1"), "0"), "")</f>
        <v>NG911-56</v>
      </c>
      <c r="B70" s="475" t="s">
        <v>43</v>
      </c>
      <c r="C70" s="365" t="s">
        <v>914</v>
      </c>
      <c r="D70" s="218"/>
      <c r="E70" s="219"/>
      <c r="F70" s="206"/>
      <c r="G70" s="299" t="s">
        <v>101</v>
      </c>
      <c r="I70" s="207">
        <f t="shared" si="6"/>
        <v>1</v>
      </c>
      <c r="J70" s="207">
        <f t="shared" si="7"/>
        <v>0</v>
      </c>
      <c r="K70" s="207">
        <f t="shared" si="8"/>
        <v>0</v>
      </c>
      <c r="L70" s="197">
        <v>1</v>
      </c>
    </row>
    <row r="71" spans="1:12" ht="30" customHeight="1" x14ac:dyDescent="0.25">
      <c r="A71" s="470" t="str">
        <f>IF(L71=1,"NG911-"&amp;TEXT(COUNTIF($L$3:L71, "1"), "0"), "")</f>
        <v>NG911-57</v>
      </c>
      <c r="B71" s="475" t="s">
        <v>43</v>
      </c>
      <c r="C71" s="336" t="s">
        <v>915</v>
      </c>
      <c r="D71" s="218"/>
      <c r="E71" s="219"/>
      <c r="F71" s="206"/>
      <c r="G71" s="299" t="s">
        <v>101</v>
      </c>
      <c r="I71" s="207">
        <f t="shared" si="6"/>
        <v>1</v>
      </c>
      <c r="J71" s="207">
        <f t="shared" si="7"/>
        <v>0</v>
      </c>
      <c r="K71" s="207">
        <f t="shared" si="8"/>
        <v>0</v>
      </c>
      <c r="L71" s="197">
        <v>1</v>
      </c>
    </row>
    <row r="72" spans="1:12" ht="30" customHeight="1" x14ac:dyDescent="0.25">
      <c r="A72" s="470" t="str">
        <f>IF(L72=1,"NG911-"&amp;TEXT(COUNTIF($L$3:L72, "1"), "0"), "")</f>
        <v>NG911-58</v>
      </c>
      <c r="B72" s="475" t="s">
        <v>43</v>
      </c>
      <c r="C72" s="336" t="s">
        <v>916</v>
      </c>
      <c r="D72" s="218"/>
      <c r="E72" s="219"/>
      <c r="F72" s="206"/>
      <c r="G72" s="299" t="s">
        <v>101</v>
      </c>
      <c r="I72" s="207">
        <f t="shared" si="6"/>
        <v>1</v>
      </c>
      <c r="J72" s="207">
        <f t="shared" si="7"/>
        <v>0</v>
      </c>
      <c r="K72" s="207">
        <f t="shared" si="8"/>
        <v>0</v>
      </c>
      <c r="L72" s="197">
        <v>1</v>
      </c>
    </row>
    <row r="73" spans="1:12" ht="30" customHeight="1" x14ac:dyDescent="0.25">
      <c r="A73" s="470" t="str">
        <f>IF(L73=1,"NG911-"&amp;TEXT(COUNTIF($L$3:L73, "1"), "0"), "")</f>
        <v>NG911-59</v>
      </c>
      <c r="B73" s="477" t="s">
        <v>43</v>
      </c>
      <c r="C73" s="337" t="s">
        <v>917</v>
      </c>
      <c r="D73" s="228"/>
      <c r="E73" s="229"/>
      <c r="F73" s="225"/>
      <c r="G73" s="299" t="s">
        <v>101</v>
      </c>
      <c r="I73" s="207">
        <f t="shared" si="6"/>
        <v>1</v>
      </c>
      <c r="J73" s="207">
        <f t="shared" si="7"/>
        <v>0</v>
      </c>
      <c r="K73" s="207">
        <f t="shared" si="8"/>
        <v>0</v>
      </c>
      <c r="L73" s="197">
        <v>1</v>
      </c>
    </row>
    <row r="74" spans="1:12" ht="30" customHeight="1" x14ac:dyDescent="0.25">
      <c r="A74" s="210"/>
      <c r="B74" s="211"/>
      <c r="C74" s="364" t="s">
        <v>918</v>
      </c>
      <c r="D74" s="213"/>
      <c r="E74" s="214"/>
      <c r="F74" s="413"/>
      <c r="G74" s="850"/>
    </row>
    <row r="75" spans="1:12" ht="30" customHeight="1" x14ac:dyDescent="0.25">
      <c r="A75" s="470" t="str">
        <f>IF(L75=1,"NG911-"&amp;TEXT(COUNTIF($L$3:L75, "1"), "0"), "")</f>
        <v>NG911-60</v>
      </c>
      <c r="B75" s="471" t="s">
        <v>43</v>
      </c>
      <c r="C75" s="217" t="s">
        <v>919</v>
      </c>
      <c r="D75" s="218"/>
      <c r="E75" s="219"/>
      <c r="F75" s="226"/>
      <c r="G75" s="296" t="s">
        <v>101</v>
      </c>
      <c r="I75" s="207">
        <f>IF(NOT(ISBLANK($B75)),VLOOKUP($B75,specdata,2,FALSE()),"")</f>
        <v>1</v>
      </c>
      <c r="J75" s="207">
        <f>VLOOKUP(G75,AvailabilityData,2,FALSE())</f>
        <v>0</v>
      </c>
      <c r="K75" s="207">
        <f>I75*J75</f>
        <v>0</v>
      </c>
      <c r="L75" s="197">
        <v>1</v>
      </c>
    </row>
    <row r="76" spans="1:12" ht="30" customHeight="1" x14ac:dyDescent="0.25">
      <c r="A76" s="470" t="str">
        <f>IF(L76=1,"NG911-"&amp;TEXT(COUNTIF($L$3:L76, "1"), "0"), "")</f>
        <v>NG911-61</v>
      </c>
      <c r="B76" s="475" t="s">
        <v>43</v>
      </c>
      <c r="C76" s="221" t="s">
        <v>920</v>
      </c>
      <c r="D76" s="218"/>
      <c r="E76" s="219"/>
      <c r="F76" s="206"/>
      <c r="G76" s="299" t="s">
        <v>101</v>
      </c>
      <c r="I76" s="207">
        <f>IF(NOT(ISBLANK($B76)),VLOOKUP($B76,specdata,2,FALSE()),"")</f>
        <v>1</v>
      </c>
      <c r="J76" s="207">
        <f>VLOOKUP(G76,AvailabilityData,2,FALSE())</f>
        <v>0</v>
      </c>
      <c r="K76" s="207">
        <f>I76*J76</f>
        <v>0</v>
      </c>
      <c r="L76" s="197">
        <v>1</v>
      </c>
    </row>
    <row r="77" spans="1:12" ht="30" customHeight="1" x14ac:dyDescent="0.25">
      <c r="A77" s="470" t="str">
        <f>IF(L77=1,"NG911-"&amp;TEXT(COUNTIF($L$3:L77, "1"), "0"), "")</f>
        <v>NG911-62</v>
      </c>
      <c r="B77" s="477" t="s">
        <v>43</v>
      </c>
      <c r="C77" s="222" t="s">
        <v>921</v>
      </c>
      <c r="D77" s="228"/>
      <c r="E77" s="229"/>
      <c r="F77" s="225"/>
      <c r="G77" s="299" t="s">
        <v>101</v>
      </c>
      <c r="I77" s="207">
        <f>IF(NOT(ISBLANK($B77)),VLOOKUP($B77,specdata,2,FALSE()),"")</f>
        <v>1</v>
      </c>
      <c r="J77" s="207">
        <f>VLOOKUP(G77,AvailabilityData,2,FALSE())</f>
        <v>0</v>
      </c>
      <c r="K77" s="207">
        <f>I77*J77</f>
        <v>0</v>
      </c>
      <c r="L77" s="197">
        <v>1</v>
      </c>
    </row>
    <row r="78" spans="1:12" x14ac:dyDescent="0.25">
      <c r="A78" s="210"/>
      <c r="B78" s="211"/>
      <c r="C78" s="497" t="s">
        <v>922</v>
      </c>
      <c r="D78" s="294"/>
      <c r="E78" s="214"/>
      <c r="F78" s="413"/>
      <c r="G78" s="850"/>
    </row>
    <row r="79" spans="1:12" ht="30" customHeight="1" x14ac:dyDescent="0.25">
      <c r="A79" s="470" t="str">
        <f>IF(L79=1,"NG911-"&amp;TEXT(COUNTIF($L$3:L79, "1"), "0"), "")</f>
        <v>NG911-63</v>
      </c>
      <c r="B79" s="471" t="s">
        <v>43</v>
      </c>
      <c r="C79" s="498" t="s">
        <v>923</v>
      </c>
      <c r="D79" s="228"/>
      <c r="E79" s="229"/>
      <c r="F79" s="436"/>
      <c r="G79" s="299" t="s">
        <v>101</v>
      </c>
      <c r="I79" s="207">
        <f>IF(NOT(ISBLANK($B79)),VLOOKUP($B79,specdata,2,FALSE()),"")</f>
        <v>1</v>
      </c>
      <c r="J79" s="207">
        <f>VLOOKUP(G79,AvailabilityData,2,FALSE())</f>
        <v>0</v>
      </c>
      <c r="K79" s="207">
        <f>I79*J79</f>
        <v>0</v>
      </c>
      <c r="L79" s="197">
        <v>1</v>
      </c>
    </row>
    <row r="80" spans="1:12" x14ac:dyDescent="0.25">
      <c r="A80" s="210"/>
      <c r="B80" s="211"/>
      <c r="C80" s="497" t="s">
        <v>168</v>
      </c>
      <c r="D80" s="213"/>
      <c r="E80" s="214"/>
      <c r="F80" s="413"/>
      <c r="G80" s="850"/>
    </row>
    <row r="81" spans="1:12" ht="30" customHeight="1" x14ac:dyDescent="0.25">
      <c r="A81" s="470" t="str">
        <f>IF(L81=1,"NG911-"&amp;TEXT(COUNTIF($L$3:L81, "1"), "0"), "")</f>
        <v>NG911-64</v>
      </c>
      <c r="B81" s="471" t="s">
        <v>43</v>
      </c>
      <c r="C81" s="365" t="s">
        <v>185</v>
      </c>
      <c r="D81" s="218"/>
      <c r="E81" s="219"/>
      <c r="F81" s="226"/>
      <c r="G81" s="296" t="s">
        <v>101</v>
      </c>
      <c r="I81" s="207">
        <f>IF(NOT(ISBLANK($B81)),VLOOKUP($B81,specdata,2,FALSE()),"")</f>
        <v>1</v>
      </c>
      <c r="J81" s="207">
        <f>VLOOKUP(G81,AvailabilityData,2,FALSE())</f>
        <v>0</v>
      </c>
      <c r="K81" s="207">
        <f>I81*J81</f>
        <v>0</v>
      </c>
      <c r="L81" s="197">
        <v>1</v>
      </c>
    </row>
    <row r="82" spans="1:12" ht="30" customHeight="1" x14ac:dyDescent="0.25">
      <c r="A82" s="470" t="str">
        <f>IF(L82=1,"NG911-"&amp;TEXT(COUNTIF($L$3:L82, "1"), "0"), "")</f>
        <v>NG911-65</v>
      </c>
      <c r="B82" s="475" t="s">
        <v>43</v>
      </c>
      <c r="C82" s="221" t="s">
        <v>170</v>
      </c>
      <c r="D82" s="218"/>
      <c r="E82" s="219"/>
      <c r="F82" s="206"/>
      <c r="G82" s="299" t="s">
        <v>101</v>
      </c>
      <c r="I82" s="207">
        <f>IF(NOT(ISBLANK($B82)),VLOOKUP($B82,specdata,2,FALSE()),"")</f>
        <v>1</v>
      </c>
      <c r="J82" s="207">
        <f>VLOOKUP(G82,AvailabilityData,2,FALSE())</f>
        <v>0</v>
      </c>
      <c r="K82" s="207">
        <f>I82*J82</f>
        <v>0</v>
      </c>
      <c r="L82" s="197">
        <v>1</v>
      </c>
    </row>
    <row r="83" spans="1:12" ht="30" customHeight="1" x14ac:dyDescent="0.25">
      <c r="A83" s="470" t="str">
        <f>IF(L83=1,"NG911-"&amp;TEXT(COUNTIF($L$3:L83, "1"), "0"), "")</f>
        <v>NG911-66</v>
      </c>
      <c r="B83" s="475" t="s">
        <v>43</v>
      </c>
      <c r="C83" s="221" t="s">
        <v>171</v>
      </c>
      <c r="D83" s="218"/>
      <c r="E83" s="219"/>
      <c r="F83" s="206"/>
      <c r="G83" s="299" t="s">
        <v>101</v>
      </c>
      <c r="I83" s="207">
        <f>IF(NOT(ISBLANK($B83)),VLOOKUP($B83,specdata,2,FALSE()),"")</f>
        <v>1</v>
      </c>
      <c r="J83" s="207">
        <f>VLOOKUP(G83,AvailabilityData,2,FALSE())</f>
        <v>0</v>
      </c>
      <c r="K83" s="207">
        <f>I83*J83</f>
        <v>0</v>
      </c>
      <c r="L83" s="197">
        <v>1</v>
      </c>
    </row>
    <row r="84" spans="1:12" ht="30" customHeight="1" x14ac:dyDescent="0.25">
      <c r="A84" s="470" t="str">
        <f>IF(L84=1,"NG911-"&amp;TEXT(COUNTIF($L$3:L84, "1"), "0"), "")</f>
        <v>NG911-67</v>
      </c>
      <c r="B84" s="475" t="s">
        <v>43</v>
      </c>
      <c r="C84" s="221" t="s">
        <v>172</v>
      </c>
      <c r="D84" s="218"/>
      <c r="E84" s="219"/>
      <c r="F84" s="206"/>
      <c r="G84" s="299" t="s">
        <v>101</v>
      </c>
      <c r="I84" s="207">
        <f>IF(NOT(ISBLANK($B84)),VLOOKUP($B84,specdata,2,FALSE()),"")</f>
        <v>1</v>
      </c>
      <c r="J84" s="207">
        <f>VLOOKUP(G84,AvailabilityData,2,FALSE())</f>
        <v>0</v>
      </c>
      <c r="K84" s="207">
        <f>I84*J84</f>
        <v>0</v>
      </c>
      <c r="L84" s="197">
        <v>1</v>
      </c>
    </row>
    <row r="85" spans="1:12" ht="30" customHeight="1" x14ac:dyDescent="0.25">
      <c r="A85" s="470" t="str">
        <f>IF(L85=1,"NG911-"&amp;TEXT(COUNTIF($L$3:L85, "1"), "0"), "")</f>
        <v>NG911-68</v>
      </c>
      <c r="B85" s="477" t="s">
        <v>43</v>
      </c>
      <c r="C85" s="222" t="s">
        <v>173</v>
      </c>
      <c r="D85" s="228"/>
      <c r="E85" s="229"/>
      <c r="F85" s="225"/>
      <c r="G85" s="299" t="s">
        <v>101</v>
      </c>
      <c r="I85" s="207">
        <f>IF(NOT(ISBLANK($B85)),VLOOKUP($B85,specdata,2,FALSE()),"")</f>
        <v>1</v>
      </c>
      <c r="J85" s="207">
        <f>VLOOKUP(G85,AvailabilityData,2,FALSE())</f>
        <v>0</v>
      </c>
      <c r="K85" s="207">
        <f>I85*J85</f>
        <v>0</v>
      </c>
      <c r="L85" s="197">
        <v>1</v>
      </c>
    </row>
    <row r="86" spans="1:12" x14ac:dyDescent="0.25">
      <c r="A86" s="210"/>
      <c r="B86" s="211"/>
      <c r="C86" s="497" t="s">
        <v>165</v>
      </c>
      <c r="D86" s="213"/>
      <c r="E86" s="214"/>
      <c r="F86" s="413"/>
      <c r="G86" s="850"/>
    </row>
    <row r="87" spans="1:12" ht="30" customHeight="1" x14ac:dyDescent="0.25">
      <c r="A87" s="470" t="str">
        <f>IF(L87=1,"NG911-"&amp;TEXT(COUNTIF($L$3:L87, "1"), "0"), "")</f>
        <v>NG911-69</v>
      </c>
      <c r="B87" s="471" t="s">
        <v>43</v>
      </c>
      <c r="C87" s="365" t="s">
        <v>208</v>
      </c>
      <c r="D87" s="218"/>
      <c r="E87" s="219"/>
      <c r="F87" s="226"/>
      <c r="G87" s="296" t="s">
        <v>101</v>
      </c>
      <c r="I87" s="207">
        <f>IF(NOT(ISBLANK($B87)),VLOOKUP($B87,specdata,2,FALSE()),"")</f>
        <v>1</v>
      </c>
      <c r="J87" s="207">
        <f>VLOOKUP(G87,AvailabilityData,2,FALSE())</f>
        <v>0</v>
      </c>
      <c r="K87" s="207">
        <f>I87*J87</f>
        <v>0</v>
      </c>
      <c r="L87" s="197">
        <v>1</v>
      </c>
    </row>
    <row r="88" spans="1:12" ht="30" customHeight="1" x14ac:dyDescent="0.25">
      <c r="A88" s="470" t="str">
        <f>IF(L88=1,"NG911-"&amp;TEXT(COUNTIF($L$3:L88, "1"), "0"), "")</f>
        <v>NG911-70</v>
      </c>
      <c r="B88" s="475" t="s">
        <v>43</v>
      </c>
      <c r="C88" s="336" t="s">
        <v>924</v>
      </c>
      <c r="D88" s="218"/>
      <c r="E88" s="219"/>
      <c r="F88" s="206"/>
      <c r="G88" s="299" t="s">
        <v>101</v>
      </c>
      <c r="I88" s="207">
        <f>IF(NOT(ISBLANK($B88)),VLOOKUP($B88,specdata,2,FALSE()),"")</f>
        <v>1</v>
      </c>
      <c r="J88" s="207">
        <f>VLOOKUP(G88,AvailabilityData,2,FALSE())</f>
        <v>0</v>
      </c>
      <c r="K88" s="207">
        <f>I88*J88</f>
        <v>0</v>
      </c>
      <c r="L88" s="197">
        <v>1</v>
      </c>
    </row>
    <row r="89" spans="1:12" ht="30" customHeight="1" x14ac:dyDescent="0.25">
      <c r="A89" s="470" t="str">
        <f>IF(L89=1,"NG911-"&amp;TEXT(COUNTIF($L$3:L89, "1"), "0"), "")</f>
        <v>NG911-71</v>
      </c>
      <c r="B89" s="297" t="s">
        <v>43</v>
      </c>
      <c r="C89" s="336" t="s">
        <v>210</v>
      </c>
      <c r="D89" s="499"/>
      <c r="E89" s="219"/>
      <c r="F89" s="206"/>
      <c r="G89" s="299" t="s">
        <v>101</v>
      </c>
      <c r="I89" s="207">
        <f>IF(NOT(ISBLANK($B89)),VLOOKUP($B89,specdata,2,FALSE()),"")</f>
        <v>1</v>
      </c>
      <c r="J89" s="207">
        <f>VLOOKUP(G89,AvailabilityData,2,FALSE())</f>
        <v>0</v>
      </c>
      <c r="K89" s="207">
        <f>I89*J89</f>
        <v>0</v>
      </c>
      <c r="L89" s="197">
        <v>1</v>
      </c>
    </row>
    <row r="90" spans="1:12" ht="30" customHeight="1" x14ac:dyDescent="0.25">
      <c r="A90" s="470" t="str">
        <f>IF(L90=1,"NG911-"&amp;TEXT(COUNTIF($L$3:L90, "1"), "0"), "")</f>
        <v>NG911-72</v>
      </c>
      <c r="B90" s="290" t="s">
        <v>43</v>
      </c>
      <c r="C90" s="337" t="s">
        <v>211</v>
      </c>
      <c r="D90" s="500"/>
      <c r="E90" s="229"/>
      <c r="F90" s="225"/>
      <c r="G90" s="299" t="s">
        <v>101</v>
      </c>
      <c r="I90" s="207">
        <f>IF(NOT(ISBLANK($B90)),VLOOKUP($B90,specdata,2,FALSE()),"")</f>
        <v>1</v>
      </c>
      <c r="J90" s="207">
        <f>VLOOKUP(G90,AvailabilityData,2,FALSE())</f>
        <v>0</v>
      </c>
      <c r="K90" s="207">
        <f>I90*J90</f>
        <v>0</v>
      </c>
      <c r="L90" s="197">
        <v>1</v>
      </c>
    </row>
    <row r="91" spans="1:12" x14ac:dyDescent="0.25">
      <c r="A91" s="342"/>
      <c r="B91" s="211"/>
      <c r="C91" s="497" t="s">
        <v>174</v>
      </c>
      <c r="D91" s="501"/>
      <c r="E91" s="214"/>
      <c r="F91" s="413"/>
      <c r="G91" s="850"/>
    </row>
    <row r="92" spans="1:12" ht="30" customHeight="1" x14ac:dyDescent="0.25">
      <c r="A92" s="470" t="str">
        <f>IF(L92=1,"NG911-"&amp;TEXT(COUNTIF($L$3:L92, "1"), "0"), "")</f>
        <v>NG911-73</v>
      </c>
      <c r="B92" s="203" t="s">
        <v>43</v>
      </c>
      <c r="C92" s="365" t="s">
        <v>258</v>
      </c>
      <c r="D92" s="502"/>
      <c r="E92" s="219"/>
      <c r="F92" s="226"/>
      <c r="G92" s="296" t="s">
        <v>101</v>
      </c>
      <c r="I92" s="207">
        <f>IF(NOT(ISBLANK($B92)),VLOOKUP($B92,specdata,2,FALSE()),"")</f>
        <v>1</v>
      </c>
      <c r="J92" s="207">
        <f>VLOOKUP(G92,AvailabilityData,2,FALSE())</f>
        <v>0</v>
      </c>
      <c r="K92" s="207">
        <f>I92*J92</f>
        <v>0</v>
      </c>
      <c r="L92" s="197">
        <v>1</v>
      </c>
    </row>
    <row r="93" spans="1:12" ht="27.6" x14ac:dyDescent="0.25">
      <c r="A93" s="470" t="str">
        <f>IF(L93=1,"NG911-"&amp;TEXT(COUNTIF($L$3:L93, "1"), "0"), "")</f>
        <v>NG911-74</v>
      </c>
      <c r="B93" s="297" t="s">
        <v>43</v>
      </c>
      <c r="C93" s="336" t="s">
        <v>925</v>
      </c>
      <c r="D93" s="499"/>
      <c r="E93" s="219"/>
      <c r="F93" s="206"/>
      <c r="G93" s="299" t="s">
        <v>101</v>
      </c>
      <c r="I93" s="207">
        <f>IF(NOT(ISBLANK($B93)),VLOOKUP($B93,specdata,2,FALSE()),"")</f>
        <v>1</v>
      </c>
      <c r="J93" s="207">
        <f>VLOOKUP(G93,AvailabilityData,2,FALSE())</f>
        <v>0</v>
      </c>
      <c r="K93" s="207">
        <f>I93*J93</f>
        <v>0</v>
      </c>
      <c r="L93" s="197">
        <v>1</v>
      </c>
    </row>
    <row r="94" spans="1:12" ht="41.4" x14ac:dyDescent="0.25">
      <c r="A94" s="503" t="str">
        <f>IF(L94=1,"NG911-"&amp;TEXT(COUNTIF($L$3:L94, "1"), "0"), "")</f>
        <v>NG911-75</v>
      </c>
      <c r="B94" s="297" t="s">
        <v>43</v>
      </c>
      <c r="C94" s="336" t="s">
        <v>193</v>
      </c>
      <c r="D94" s="499"/>
      <c r="E94" s="219"/>
      <c r="F94" s="206"/>
      <c r="G94" s="299" t="s">
        <v>101</v>
      </c>
      <c r="I94" s="207">
        <f>IF(NOT(ISBLANK($B94)),VLOOKUP($B94,specdata,2,FALSE()),"")</f>
        <v>1</v>
      </c>
      <c r="J94" s="207">
        <f>VLOOKUP(G94,AvailabilityData,2,FALSE())</f>
        <v>0</v>
      </c>
      <c r="K94" s="207">
        <f>I94*J94</f>
        <v>0</v>
      </c>
      <c r="L94" s="197">
        <v>1</v>
      </c>
    </row>
    <row r="95" spans="1:12" ht="27.6" x14ac:dyDescent="0.25">
      <c r="A95" s="503" t="str">
        <f>IF(L95=1,"NG911-"&amp;TEXT(COUNTIF($L$3:L95, "1"), "0"), "")</f>
        <v>NG911-76</v>
      </c>
      <c r="B95" s="297" t="s">
        <v>43</v>
      </c>
      <c r="C95" s="336" t="s">
        <v>926</v>
      </c>
      <c r="D95" s="499"/>
      <c r="E95" s="219"/>
      <c r="F95" s="206"/>
      <c r="G95" s="299" t="s">
        <v>101</v>
      </c>
      <c r="I95" s="207">
        <f>IF(NOT(ISBLANK($B95)),VLOOKUP($B95,specdata,2,FALSE()),"")</f>
        <v>1</v>
      </c>
      <c r="J95" s="207">
        <f>VLOOKUP(G95,AvailabilityData,2,FALSE())</f>
        <v>0</v>
      </c>
      <c r="K95" s="207">
        <f>I95*J95</f>
        <v>0</v>
      </c>
      <c r="L95" s="197">
        <v>1</v>
      </c>
    </row>
    <row r="96" spans="1:12" ht="30" customHeight="1" x14ac:dyDescent="0.25"/>
    <row r="97" ht="30" customHeight="1" x14ac:dyDescent="0.25"/>
    <row r="98" ht="30" customHeight="1" x14ac:dyDescent="0.25"/>
    <row r="99" ht="30" customHeight="1" x14ac:dyDescent="0.25"/>
    <row r="100" ht="30" customHeight="1" x14ac:dyDescent="0.25"/>
    <row r="101" ht="30" customHeight="1" x14ac:dyDescent="0.25"/>
    <row r="102" ht="30" customHeight="1" x14ac:dyDescent="0.25"/>
    <row r="103" ht="30" customHeight="1" x14ac:dyDescent="0.25"/>
    <row r="104" ht="30" customHeight="1" x14ac:dyDescent="0.25"/>
    <row r="105" ht="30" customHeight="1" x14ac:dyDescent="0.25"/>
    <row r="106" ht="30" customHeight="1" x14ac:dyDescent="0.25"/>
    <row r="107" ht="30" customHeight="1" x14ac:dyDescent="0.25"/>
    <row r="108" ht="30" customHeight="1" x14ac:dyDescent="0.25"/>
    <row r="109" ht="30" customHeight="1" x14ac:dyDescent="0.25"/>
    <row r="110" ht="30" customHeight="1" x14ac:dyDescent="0.25"/>
    <row r="111" ht="30" customHeight="1" x14ac:dyDescent="0.25"/>
    <row r="112" ht="30" customHeight="1" x14ac:dyDescent="0.25"/>
    <row r="113" ht="30" customHeight="1" x14ac:dyDescent="0.25"/>
    <row r="114" ht="30" customHeight="1" x14ac:dyDescent="0.25"/>
    <row r="115" ht="30" customHeight="1" x14ac:dyDescent="0.25"/>
    <row r="116" ht="30" customHeight="1" x14ac:dyDescent="0.25"/>
    <row r="117" ht="30" customHeight="1" x14ac:dyDescent="0.25"/>
    <row r="118" ht="30" customHeight="1" x14ac:dyDescent="0.25"/>
    <row r="119" ht="30" customHeight="1" x14ac:dyDescent="0.25"/>
    <row r="120" ht="30" customHeight="1" x14ac:dyDescent="0.25"/>
    <row r="121" ht="30" customHeight="1" x14ac:dyDescent="0.25"/>
    <row r="122" ht="30" customHeight="1" x14ac:dyDescent="0.25"/>
    <row r="123" ht="30" customHeight="1" x14ac:dyDescent="0.25"/>
    <row r="124" ht="30" customHeight="1" x14ac:dyDescent="0.25"/>
    <row r="125" ht="30" customHeight="1" x14ac:dyDescent="0.25"/>
    <row r="126" ht="30" customHeight="1" x14ac:dyDescent="0.25"/>
    <row r="127" ht="30" customHeight="1" x14ac:dyDescent="0.25"/>
    <row r="128" ht="30" customHeight="1" x14ac:dyDescent="0.25"/>
    <row r="129" ht="30" customHeight="1" x14ac:dyDescent="0.25"/>
    <row r="130" ht="30" customHeight="1" x14ac:dyDescent="0.25"/>
    <row r="131" ht="30" customHeight="1" x14ac:dyDescent="0.25"/>
    <row r="132" ht="30" customHeight="1" x14ac:dyDescent="0.25"/>
    <row r="133" ht="30" customHeight="1" x14ac:dyDescent="0.25"/>
    <row r="134" ht="30" customHeight="1" x14ac:dyDescent="0.25"/>
    <row r="135" ht="30" customHeight="1" x14ac:dyDescent="0.25"/>
    <row r="136" ht="30" customHeight="1" x14ac:dyDescent="0.25"/>
    <row r="137" ht="30" customHeight="1" x14ac:dyDescent="0.25"/>
    <row r="138" ht="30" customHeight="1" x14ac:dyDescent="0.25"/>
    <row r="139" ht="45" customHeight="1" x14ac:dyDescent="0.25"/>
    <row r="140" ht="30" customHeight="1" x14ac:dyDescent="0.25"/>
    <row r="141" ht="30" customHeight="1" x14ac:dyDescent="0.25"/>
    <row r="142" ht="30" customHeight="1" x14ac:dyDescent="0.25"/>
    <row r="143" ht="30" customHeight="1" x14ac:dyDescent="0.25"/>
    <row r="144" ht="30" customHeight="1" x14ac:dyDescent="0.25"/>
    <row r="145" ht="30" customHeight="1" x14ac:dyDescent="0.25"/>
    <row r="146" ht="30" customHeight="1" x14ac:dyDescent="0.25"/>
    <row r="147" ht="30" customHeight="1" x14ac:dyDescent="0.25"/>
    <row r="148" ht="30" customHeight="1" x14ac:dyDescent="0.25"/>
    <row r="149" ht="30" customHeight="1" x14ac:dyDescent="0.25"/>
    <row r="150" ht="30" customHeight="1" x14ac:dyDescent="0.25"/>
    <row r="151" ht="30" customHeight="1" x14ac:dyDescent="0.25"/>
    <row r="152" ht="30" customHeight="1" x14ac:dyDescent="0.25"/>
    <row r="153" ht="30" customHeight="1" x14ac:dyDescent="0.25"/>
    <row r="154" ht="30" customHeight="1" x14ac:dyDescent="0.25"/>
    <row r="155" ht="30" customHeight="1" x14ac:dyDescent="0.25"/>
    <row r="156" ht="59.25" customHeight="1" x14ac:dyDescent="0.25"/>
  </sheetData>
  <sheetProtection algorithmName="SHA-512" hashValue="AoQmCq6L3HlShGDn+UShCaCplzXvot38ACKXl1wgKnFbbWfWNM8CKHBz2bg3UFeuGYPE75RPTGL+IrCU/ZZ+WA==" saltValue="TEa2wP6Bqe0CJY9kyEcX8A==" spinCount="100000" sheet="1" objects="1" scenarios="1"/>
  <mergeCells count="1">
    <mergeCell ref="O3:Q6"/>
  </mergeCells>
  <conditionalFormatting sqref="B1:B1048576">
    <cfRule type="cellIs" dxfId="159" priority="2" operator="equal">
      <formula>"Informational"</formula>
    </cfRule>
    <cfRule type="cellIs" dxfId="158" priority="3" operator="equal">
      <formula>"Not Needed"</formula>
    </cfRule>
    <cfRule type="cellIs" dxfId="157" priority="4" operator="equal">
      <formula>"Extremely Advantageous"</formula>
    </cfRule>
    <cfRule type="cellIs" dxfId="156" priority="5" operator="equal">
      <formula>"Critical"</formula>
    </cfRule>
  </conditionalFormatting>
  <conditionalFormatting sqref="B2:B88">
    <cfRule type="cellIs" dxfId="155" priority="7" operator="equal">
      <formula>"Mandatory"</formula>
    </cfRule>
  </conditionalFormatting>
  <conditionalFormatting sqref="G1:G1048576">
    <cfRule type="cellIs" dxfId="154" priority="6" operator="equal">
      <formula>"Exception"</formula>
    </cfRule>
  </conditionalFormatting>
  <conditionalFormatting sqref="G3:G95">
    <cfRule type="cellIs" dxfId="153" priority="8"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88" xr:uid="{00000000-0002-0000-2000-000000000000}">
      <formula1>SpecType</formula1>
      <formula2>0</formula2>
    </dataValidation>
    <dataValidation type="list" allowBlank="1" showInputMessage="1" showErrorMessage="1" sqref="G3 G5:G8 G10 G12:G15 G17 G19:G24 G26:G40 G42 G44:G46 G48:G51 G53:G56 G58 G60:G73 G75:G77 G79 G81:G85 G87:G90 G92:G95" xr:uid="{00000000-0002-0000-20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J58"/>
  <sheetViews>
    <sheetView zoomScaleNormal="100" workbookViewId="0"/>
  </sheetViews>
  <sheetFormatPr defaultColWidth="9.09765625" defaultRowHeight="13.8" x14ac:dyDescent="0.25"/>
  <cols>
    <col min="1" max="1" width="12.59765625" customWidth="1"/>
    <col min="2" max="2" width="9" customWidth="1"/>
    <col min="3" max="3" width="14.3984375" customWidth="1"/>
    <col min="4" max="4" width="40.19921875" customWidth="1"/>
    <col min="5" max="5" width="10.59765625" customWidth="1"/>
    <col min="6" max="6" width="9.69921875" style="99" customWidth="1"/>
    <col min="7" max="7" width="15.59765625" style="99" customWidth="1"/>
    <col min="8" max="10" width="12" style="99" customWidth="1"/>
    <col min="11" max="11" width="9" customWidth="1"/>
    <col min="12" max="12" width="21.59765625" customWidth="1"/>
    <col min="13" max="13" width="22" customWidth="1"/>
    <col min="14" max="14" width="9" customWidth="1"/>
  </cols>
  <sheetData>
    <row r="1" spans="1:10" s="29" customFormat="1" ht="105" customHeight="1" x14ac:dyDescent="0.3">
      <c r="A1" s="100"/>
      <c r="B1" s="100"/>
      <c r="C1" s="100" t="str">
        <f>'Support Data'!A18</f>
        <v>Specifications</v>
      </c>
      <c r="D1" s="101" t="s">
        <v>69</v>
      </c>
      <c r="E1" s="102" t="str">
        <f>'Support Data'!A20</f>
        <v>Def ID</v>
      </c>
      <c r="F1" s="101" t="s">
        <v>70</v>
      </c>
      <c r="G1" s="100" t="str">
        <f>$A$13</f>
        <v>Not Answered</v>
      </c>
      <c r="H1" s="743" t="str">
        <f>$A$14</f>
        <v>Function Available</v>
      </c>
      <c r="I1" s="743" t="str">
        <f>$A$15</f>
        <v>Function Not Available</v>
      </c>
      <c r="J1" s="29" t="str">
        <f>$A$16</f>
        <v>Exception</v>
      </c>
    </row>
    <row r="2" spans="1:10" x14ac:dyDescent="0.25">
      <c r="D2" t="s">
        <v>71</v>
      </c>
      <c r="E2" s="99">
        <f>COUNTA(D5:D28)</f>
        <v>24</v>
      </c>
      <c r="F2" s="99" t="e">
        <f>SUM(F5:F28)</f>
        <v>#REF!</v>
      </c>
      <c r="G2" s="99" t="e">
        <f>SUM(G5:G28)</f>
        <v>#REF!</v>
      </c>
      <c r="H2" s="99" t="e">
        <f>SUM(H5:H28)</f>
        <v>#REF!</v>
      </c>
      <c r="I2" s="99" t="e">
        <f>SUM(I5:I28)</f>
        <v>#REF!</v>
      </c>
      <c r="J2" s="99" t="e">
        <f>SUM(J5:J28)</f>
        <v>#REF!</v>
      </c>
    </row>
    <row r="3" spans="1:10" x14ac:dyDescent="0.25">
      <c r="E3" s="99"/>
    </row>
    <row r="5" spans="1:10" x14ac:dyDescent="0.25">
      <c r="A5" s="103" t="s">
        <v>72</v>
      </c>
      <c r="B5" s="29" t="s">
        <v>73</v>
      </c>
      <c r="C5" s="99">
        <v>1</v>
      </c>
      <c r="D5" s="104" t="str">
        <f>'911 ALI'!$A$2</f>
        <v>911 ALI</v>
      </c>
      <c r="E5" s="104"/>
      <c r="F5" s="105">
        <f>'911 ALI'!H2</f>
        <v>50</v>
      </c>
      <c r="G5" s="105">
        <f>'911 ALI'!H3</f>
        <v>50</v>
      </c>
      <c r="H5" s="105">
        <f>'911 ALI'!H4</f>
        <v>0</v>
      </c>
      <c r="I5" s="105">
        <f>'911 ALI'!H5</f>
        <v>0</v>
      </c>
      <c r="J5" s="105">
        <f>'911 ALI'!H6</f>
        <v>0</v>
      </c>
    </row>
    <row r="6" spans="1:10" x14ac:dyDescent="0.25">
      <c r="A6" s="106" t="s">
        <v>42</v>
      </c>
      <c r="B6" s="107">
        <v>5</v>
      </c>
      <c r="C6" s="99">
        <v>2</v>
      </c>
      <c r="D6" s="104" t="e">
        <f>#REF!</f>
        <v>#REF!</v>
      </c>
      <c r="E6" s="104"/>
      <c r="F6" s="105" t="e">
        <f>#REF!</f>
        <v>#REF!</v>
      </c>
      <c r="G6" s="105" t="e">
        <f>#REF!</f>
        <v>#REF!</v>
      </c>
      <c r="H6" s="105" t="e">
        <f>#REF!</f>
        <v>#REF!</v>
      </c>
      <c r="I6" s="105" t="e">
        <f>#REF!</f>
        <v>#REF!</v>
      </c>
      <c r="J6" s="105" t="e">
        <f>#REF!</f>
        <v>#REF!</v>
      </c>
    </row>
    <row r="7" spans="1:10" x14ac:dyDescent="0.25">
      <c r="A7" s="108" t="s">
        <v>43</v>
      </c>
      <c r="B7" s="109">
        <v>1</v>
      </c>
      <c r="C7" s="99">
        <v>3</v>
      </c>
      <c r="D7" s="104" t="s">
        <v>53</v>
      </c>
      <c r="E7" s="104"/>
      <c r="F7" s="105" t="s">
        <v>1715</v>
      </c>
      <c r="G7" s="105" t="s">
        <v>53</v>
      </c>
      <c r="H7" s="105" t="s">
        <v>53</v>
      </c>
      <c r="I7" s="105" t="s">
        <v>53</v>
      </c>
      <c r="J7" s="105" t="s">
        <v>53</v>
      </c>
    </row>
    <row r="8" spans="1:10" x14ac:dyDescent="0.25">
      <c r="A8" s="108" t="s">
        <v>45</v>
      </c>
      <c r="B8" s="109">
        <v>0</v>
      </c>
      <c r="C8" s="99">
        <v>4</v>
      </c>
      <c r="D8" s="104" t="str">
        <f>AXON!$A$2</f>
        <v>AXON</v>
      </c>
      <c r="E8" s="104"/>
      <c r="F8" s="105">
        <f>AXON!H2</f>
        <v>8</v>
      </c>
      <c r="G8" s="105">
        <f>AXON!H3</f>
        <v>8</v>
      </c>
      <c r="H8" s="105">
        <f>AXON!H4</f>
        <v>0</v>
      </c>
      <c r="I8" s="105">
        <f>AXON!H5</f>
        <v>0</v>
      </c>
      <c r="J8" s="105">
        <f>AXON!H6</f>
        <v>0</v>
      </c>
    </row>
    <row r="9" spans="1:10" x14ac:dyDescent="0.25">
      <c r="A9" s="110" t="s">
        <v>44</v>
      </c>
      <c r="B9" s="111">
        <v>0</v>
      </c>
      <c r="C9" s="99">
        <v>5</v>
      </c>
      <c r="D9" s="104" t="str">
        <f>CAD2CAD!A2</f>
        <v>CAD2CAD</v>
      </c>
      <c r="E9" s="104"/>
      <c r="F9" s="105">
        <f>CAD2CAD!H2</f>
        <v>9</v>
      </c>
      <c r="G9" s="105">
        <f>CAD2CAD!H3</f>
        <v>9</v>
      </c>
      <c r="H9" s="105">
        <f>CAD2CAD!H4</f>
        <v>0</v>
      </c>
      <c r="I9" s="105">
        <f>CAD2CAD!H5</f>
        <v>0</v>
      </c>
      <c r="J9" s="105">
        <f>CAD2CAD!H6</f>
        <v>0</v>
      </c>
    </row>
    <row r="10" spans="1:10" x14ac:dyDescent="0.25">
      <c r="C10" s="99">
        <v>6</v>
      </c>
      <c r="D10" s="104" t="str">
        <f>CarFax!A2</f>
        <v>CARFAX</v>
      </c>
      <c r="E10" s="104"/>
      <c r="F10" s="105">
        <f>CarFax!H2</f>
        <v>20</v>
      </c>
      <c r="G10" s="105">
        <f>CarFax!H3</f>
        <v>20</v>
      </c>
      <c r="H10" s="105">
        <f>CarFax!H4</f>
        <v>0</v>
      </c>
      <c r="I10" s="105">
        <f>CarFax!H5</f>
        <v>0</v>
      </c>
      <c r="J10" s="105">
        <f>CarFax!H6</f>
        <v>0</v>
      </c>
    </row>
    <row r="11" spans="1:10" x14ac:dyDescent="0.25">
      <c r="C11" s="99">
        <v>7</v>
      </c>
      <c r="D11" s="104" t="e">
        <f>#REF!</f>
        <v>#REF!</v>
      </c>
      <c r="E11" s="104"/>
      <c r="F11" s="105" t="e">
        <f>#REF!</f>
        <v>#REF!</v>
      </c>
      <c r="G11" s="105" t="e">
        <f>#REF!</f>
        <v>#REF!</v>
      </c>
      <c r="H11" s="105" t="e">
        <f>#REF!</f>
        <v>#REF!</v>
      </c>
      <c r="I11" s="105" t="e">
        <f>#REF!</f>
        <v>#REF!</v>
      </c>
      <c r="J11" s="105" t="e">
        <f>#REF!</f>
        <v>#REF!</v>
      </c>
    </row>
    <row r="12" spans="1:10" x14ac:dyDescent="0.25">
      <c r="A12" s="103" t="s">
        <v>74</v>
      </c>
      <c r="B12" s="29" t="s">
        <v>73</v>
      </c>
      <c r="C12" s="99">
        <v>8</v>
      </c>
      <c r="D12" t="s">
        <v>1716</v>
      </c>
      <c r="E12" s="104"/>
      <c r="F12" s="105">
        <f>Drones!$H$2</f>
        <v>38</v>
      </c>
      <c r="G12" s="105">
        <f>Drones!$H$3</f>
        <v>38</v>
      </c>
      <c r="H12" s="105">
        <f>Drones!$H$4</f>
        <v>0</v>
      </c>
      <c r="I12" s="105">
        <f>Drones!$H$5</f>
        <v>0</v>
      </c>
      <c r="J12" s="105">
        <f>Drones!$H$6</f>
        <v>0</v>
      </c>
    </row>
    <row r="13" spans="1:10" x14ac:dyDescent="0.25">
      <c r="A13" s="106" t="s">
        <v>41</v>
      </c>
      <c r="B13" s="107">
        <v>0</v>
      </c>
      <c r="C13" s="99">
        <v>9</v>
      </c>
      <c r="D13" s="104" t="s">
        <v>27</v>
      </c>
      <c r="E13" s="104"/>
      <c r="F13" s="105">
        <f>'TREDS Crash'!$H$2</f>
        <v>22</v>
      </c>
      <c r="G13" s="105">
        <f>'TREDS Crash'!$H$3</f>
        <v>22</v>
      </c>
      <c r="H13" s="105">
        <f>'TREDS Crash'!$H$4</f>
        <v>0</v>
      </c>
      <c r="I13" s="105">
        <f>'TREDS Crash'!$H$5</f>
        <v>0</v>
      </c>
      <c r="J13" s="105">
        <f>'TREDS Crash'!$H$6</f>
        <v>0</v>
      </c>
    </row>
    <row r="14" spans="1:10" x14ac:dyDescent="0.25">
      <c r="A14" s="108" t="s">
        <v>49</v>
      </c>
      <c r="B14" s="109">
        <v>1</v>
      </c>
      <c r="C14" s="99">
        <v>10</v>
      </c>
      <c r="D14" s="104" t="str">
        <f>'eCitation DMV '!A2</f>
        <v>eCITATION</v>
      </c>
      <c r="E14" s="104"/>
      <c r="F14" s="105">
        <f>'eCitation DMV '!H2</f>
        <v>22</v>
      </c>
      <c r="G14" s="105">
        <f>'eCitation DMV '!H3</f>
        <v>22</v>
      </c>
      <c r="H14" s="105">
        <f>'eCitation DMV '!H4</f>
        <v>0</v>
      </c>
      <c r="I14" s="105">
        <f>'eCitation DMV '!H5</f>
        <v>0</v>
      </c>
      <c r="J14" s="105">
        <f>'eCitation DMV '!H6</f>
        <v>0</v>
      </c>
    </row>
    <row r="15" spans="1:10" x14ac:dyDescent="0.25">
      <c r="A15" s="108" t="s">
        <v>50</v>
      </c>
      <c r="B15" s="109">
        <v>0</v>
      </c>
      <c r="C15" s="99">
        <v>11</v>
      </c>
      <c r="D15" s="104" t="str">
        <f>EMD!$A$2</f>
        <v>EMD</v>
      </c>
      <c r="E15" s="104"/>
      <c r="F15" s="105">
        <f>EMD!$H$2</f>
        <v>25</v>
      </c>
      <c r="G15" s="105">
        <f>EMD!$H$3</f>
        <v>25</v>
      </c>
      <c r="H15" s="105">
        <f>EMD!$H$4</f>
        <v>0</v>
      </c>
      <c r="I15" s="105">
        <f>EMD!$H$5</f>
        <v>0</v>
      </c>
      <c r="J15" s="105">
        <f>EMD!$H$6</f>
        <v>0</v>
      </c>
    </row>
    <row r="16" spans="1:10" x14ac:dyDescent="0.25">
      <c r="A16" s="110" t="s">
        <v>51</v>
      </c>
      <c r="B16" s="111">
        <v>0</v>
      </c>
      <c r="C16" s="99">
        <v>12</v>
      </c>
      <c r="D16" s="104" t="str">
        <f>ePCR!A2</f>
        <v>ePCR</v>
      </c>
      <c r="E16" s="105"/>
      <c r="F16" s="105">
        <f>ePCR!H2</f>
        <v>54</v>
      </c>
      <c r="G16" s="105">
        <f>ePCR!H3</f>
        <v>54</v>
      </c>
      <c r="H16" s="105">
        <f>ePCR!H4</f>
        <v>0</v>
      </c>
      <c r="I16" s="105">
        <f>ePCR!H5</f>
        <v>0</v>
      </c>
      <c r="J16" s="105">
        <f>ePCR!H6</f>
        <v>0</v>
      </c>
    </row>
    <row r="17" spans="1:10" x14ac:dyDescent="0.25">
      <c r="C17" s="99">
        <v>13</v>
      </c>
      <c r="D17" s="104" t="e">
        <f>#REF!</f>
        <v>#REF!</v>
      </c>
      <c r="E17" s="104"/>
      <c r="F17" s="105" t="e">
        <f>#REF!</f>
        <v>#REF!</v>
      </c>
      <c r="G17" s="105" t="e">
        <f>#REF!</f>
        <v>#REF!</v>
      </c>
      <c r="H17" s="105" t="e">
        <f>#REF!</f>
        <v>#REF!</v>
      </c>
      <c r="I17" s="105" t="e">
        <f>#REF!</f>
        <v>#REF!</v>
      </c>
      <c r="J17" s="105" t="e">
        <f>#REF!</f>
        <v>#REF!</v>
      </c>
    </row>
    <row r="18" spans="1:10" x14ac:dyDescent="0.25">
      <c r="A18" t="s">
        <v>75</v>
      </c>
      <c r="C18" s="99">
        <v>14</v>
      </c>
      <c r="D18" s="104" t="str">
        <f>'FRMS Export'!$A$2</f>
        <v>FRMS EXPORT</v>
      </c>
      <c r="E18" s="104"/>
      <c r="F18" s="105">
        <f>'FRMS Export'!H2</f>
        <v>46</v>
      </c>
      <c r="G18" s="105">
        <f>'FRMS Export'!H3</f>
        <v>46</v>
      </c>
      <c r="H18" s="105">
        <f>'FRMS Export'!H4</f>
        <v>0</v>
      </c>
      <c r="I18" s="105">
        <f>'FRMS Export'!H5</f>
        <v>0</v>
      </c>
      <c r="J18" s="105">
        <f>'FRMS Export'!H6</f>
        <v>0</v>
      </c>
    </row>
    <row r="19" spans="1:10" x14ac:dyDescent="0.25">
      <c r="A19" t="s">
        <v>76</v>
      </c>
      <c r="C19" s="99">
        <v>15</v>
      </c>
      <c r="D19" s="104" t="str">
        <f>Livescan!$A$2</f>
        <v>LIVESCAN</v>
      </c>
      <c r="E19" s="104"/>
      <c r="F19" s="105">
        <f>Livescan!$H$2</f>
        <v>19</v>
      </c>
      <c r="G19" s="105">
        <f>Livescan!H3</f>
        <v>19</v>
      </c>
      <c r="H19" s="105">
        <f>Livescan!$L$4</f>
        <v>0</v>
      </c>
      <c r="I19" s="105">
        <f>Livescan!H5</f>
        <v>0</v>
      </c>
      <c r="J19" s="105">
        <f>Livescan!H6</f>
        <v>0</v>
      </c>
    </row>
    <row r="20" spans="1:10" x14ac:dyDescent="0.25">
      <c r="A20" t="s">
        <v>77</v>
      </c>
      <c r="C20" s="99">
        <v>16</v>
      </c>
      <c r="D20" s="104" t="str">
        <f>'NG911'!A2</f>
        <v>NG911</v>
      </c>
      <c r="E20" s="104"/>
      <c r="F20" s="105">
        <f>'NG911'!H2</f>
        <v>76</v>
      </c>
      <c r="G20" s="105">
        <f>'NG911'!H3</f>
        <v>76</v>
      </c>
      <c r="H20" s="105">
        <f>'NG911'!H4</f>
        <v>0</v>
      </c>
      <c r="I20" s="105">
        <f>'NG911'!H5</f>
        <v>0</v>
      </c>
      <c r="J20" s="105">
        <f>'NG911'!H6</f>
        <v>0</v>
      </c>
    </row>
    <row r="21" spans="1:10" x14ac:dyDescent="0.25">
      <c r="A21" t="s">
        <v>78</v>
      </c>
      <c r="C21" s="99">
        <v>17</v>
      </c>
      <c r="D21" s="104" t="s">
        <v>927</v>
      </c>
      <c r="E21" s="104"/>
      <c r="F21" s="105">
        <f>NIBRS!H2</f>
        <v>25</v>
      </c>
      <c r="G21" s="105">
        <f>NIBRS!H3</f>
        <v>25</v>
      </c>
      <c r="H21" s="105">
        <f>NIBRS!H4</f>
        <v>0</v>
      </c>
      <c r="I21" s="105">
        <f>NIBRS!H5</f>
        <v>0</v>
      </c>
      <c r="J21" s="105">
        <f>NIBRS!H6</f>
        <v>0</v>
      </c>
    </row>
    <row r="22" spans="1:10" x14ac:dyDescent="0.25">
      <c r="A22" t="s">
        <v>74</v>
      </c>
      <c r="C22" s="99">
        <v>18</v>
      </c>
      <c r="D22" s="104" t="e">
        <f>#REF!</f>
        <v>#REF!</v>
      </c>
      <c r="E22" s="104"/>
      <c r="F22" s="105" t="e">
        <f>#REF!</f>
        <v>#REF!</v>
      </c>
      <c r="G22" s="105" t="e">
        <f>#REF!</f>
        <v>#REF!</v>
      </c>
      <c r="H22" s="105" t="e">
        <f>#REF!</f>
        <v>#REF!</v>
      </c>
      <c r="I22" s="105" t="e">
        <f>#REF!</f>
        <v>#REF!</v>
      </c>
      <c r="J22" s="105" t="e">
        <f>#REF!</f>
        <v>#REF!</v>
      </c>
    </row>
    <row r="23" spans="1:10" x14ac:dyDescent="0.25">
      <c r="C23" s="99">
        <v>19</v>
      </c>
      <c r="D23" s="104" t="str">
        <f>Paging!$A$2</f>
        <v>PAGING</v>
      </c>
      <c r="E23" s="104"/>
      <c r="F23" s="105">
        <f>Paging!$H$2</f>
        <v>88</v>
      </c>
      <c r="G23" s="105">
        <f>Paging!$H$3</f>
        <v>88</v>
      </c>
      <c r="H23" s="105">
        <f>Paging!$H$4</f>
        <v>0</v>
      </c>
      <c r="I23" s="105">
        <f>Paging!H5</f>
        <v>0</v>
      </c>
      <c r="J23" s="105">
        <f>Paging!H6</f>
        <v>0</v>
      </c>
    </row>
    <row r="24" spans="1:10" x14ac:dyDescent="0.25">
      <c r="A24" t="s">
        <v>79</v>
      </c>
      <c r="C24" s="99">
        <v>20</v>
      </c>
      <c r="D24" s="104" t="str">
        <f>PulsePoint!$A$2</f>
        <v>PULSEPOINT</v>
      </c>
      <c r="E24" s="104"/>
      <c r="F24" s="105">
        <f>PulsePoint!$H$2</f>
        <v>15</v>
      </c>
      <c r="G24" s="105">
        <f>PulsePoint!$H$3</f>
        <v>15</v>
      </c>
      <c r="H24" s="105">
        <f>PulsePoint!$H$4</f>
        <v>0</v>
      </c>
      <c r="I24" s="105">
        <f>PulsePoint!$H$5</f>
        <v>0</v>
      </c>
      <c r="J24" s="105">
        <f>PulsePoint!$H$6</f>
        <v>0</v>
      </c>
    </row>
    <row r="25" spans="1:10" x14ac:dyDescent="0.25">
      <c r="A25" t="s">
        <v>80</v>
      </c>
      <c r="C25" s="99">
        <v>21</v>
      </c>
      <c r="D25" s="104" t="str">
        <f>'Radio Console'!A2</f>
        <v>RADIO CONSOLE</v>
      </c>
      <c r="E25" s="104"/>
      <c r="F25" s="105">
        <f>'Radio Console'!H2</f>
        <v>62</v>
      </c>
      <c r="G25" s="105">
        <f>'Radio Console'!H3</f>
        <v>62</v>
      </c>
      <c r="H25" s="105">
        <f>'Radio Console'!H4</f>
        <v>0</v>
      </c>
      <c r="I25" s="105">
        <f>'Radio Console'!H5</f>
        <v>0</v>
      </c>
      <c r="J25" s="105">
        <f>'Radio Console'!H6</f>
        <v>0</v>
      </c>
    </row>
    <row r="26" spans="1:10" x14ac:dyDescent="0.25">
      <c r="A26" t="s">
        <v>81</v>
      </c>
      <c r="C26" s="99">
        <v>22</v>
      </c>
      <c r="D26" s="104" t="str">
        <f>'Radio GPS'!$A$2</f>
        <v>RADIO GPS</v>
      </c>
      <c r="E26" s="104"/>
      <c r="F26" s="105">
        <f>'Radio GPS'!$H$2</f>
        <v>20</v>
      </c>
      <c r="G26" s="105">
        <f>'Radio GPS'!$H$3</f>
        <v>20</v>
      </c>
      <c r="H26" s="105">
        <f>'Radio GPS'!$H$4</f>
        <v>0</v>
      </c>
      <c r="I26" s="105">
        <f>'Radio GPS'!$H$5</f>
        <v>0</v>
      </c>
      <c r="J26" s="105">
        <f>'Radio GPS'!H6</f>
        <v>0</v>
      </c>
    </row>
    <row r="27" spans="1:10" x14ac:dyDescent="0.25">
      <c r="A27" t="s">
        <v>48</v>
      </c>
      <c r="C27" s="99">
        <v>23</v>
      </c>
      <c r="D27" s="104" t="str">
        <f>RapidSOS!$A$2</f>
        <v>RAPIDSOS</v>
      </c>
      <c r="E27" s="104"/>
      <c r="F27" s="105">
        <f>RapidSOS!$H$2</f>
        <v>21</v>
      </c>
      <c r="G27" s="105">
        <f>RapidSOS!$H$3</f>
        <v>21</v>
      </c>
      <c r="H27" s="105">
        <f>RapidSOS!$H$4</f>
        <v>0</v>
      </c>
      <c r="I27" s="105">
        <f>RapidSOS!$H$5</f>
        <v>0</v>
      </c>
      <c r="J27" s="105">
        <f>RapidSOS!$H$6</f>
        <v>0</v>
      </c>
    </row>
    <row r="28" spans="1:10" x14ac:dyDescent="0.25">
      <c r="B28" s="112">
        <v>0.75</v>
      </c>
      <c r="C28" s="99">
        <v>24</v>
      </c>
      <c r="D28" s="104" t="str">
        <f>VCIN!$A$2</f>
        <v>VCIN</v>
      </c>
      <c r="E28" s="104"/>
      <c r="F28" s="105">
        <f>VCIN!$H$2</f>
        <v>151</v>
      </c>
      <c r="G28" s="105">
        <f>VCIN!$H$3</f>
        <v>151</v>
      </c>
      <c r="H28" s="105">
        <f>VCIN!H4</f>
        <v>0</v>
      </c>
      <c r="I28" s="105">
        <f>VCIN!H5</f>
        <v>0</v>
      </c>
      <c r="J28" s="105">
        <f>VCIN!H6</f>
        <v>0</v>
      </c>
    </row>
    <row r="29" spans="1:10" x14ac:dyDescent="0.25">
      <c r="A29" t="s">
        <v>82</v>
      </c>
      <c r="B29">
        <v>0</v>
      </c>
      <c r="C29" s="99">
        <v>25</v>
      </c>
    </row>
    <row r="30" spans="1:10" x14ac:dyDescent="0.25">
      <c r="A30" s="112" t="s">
        <v>83</v>
      </c>
      <c r="B30">
        <v>0.75</v>
      </c>
      <c r="C30" s="99">
        <v>26</v>
      </c>
    </row>
    <row r="31" spans="1:10" x14ac:dyDescent="0.25">
      <c r="A31" t="s">
        <v>84</v>
      </c>
      <c r="B31">
        <v>0.5</v>
      </c>
      <c r="C31" s="99">
        <v>27</v>
      </c>
    </row>
    <row r="32" spans="1:10" x14ac:dyDescent="0.25">
      <c r="A32" t="s">
        <v>85</v>
      </c>
      <c r="C32" s="99">
        <v>28</v>
      </c>
    </row>
    <row r="33" spans="1:3" x14ac:dyDescent="0.25">
      <c r="A33" t="s">
        <v>86</v>
      </c>
      <c r="C33" s="99">
        <v>29</v>
      </c>
    </row>
    <row r="34" spans="1:3" x14ac:dyDescent="0.25">
      <c r="A34" t="s">
        <v>87</v>
      </c>
      <c r="C34" s="99">
        <v>30</v>
      </c>
    </row>
    <row r="35" spans="1:3" x14ac:dyDescent="0.25">
      <c r="C35" s="99">
        <v>31</v>
      </c>
    </row>
    <row r="36" spans="1:3" x14ac:dyDescent="0.25">
      <c r="A36" t="s">
        <v>88</v>
      </c>
      <c r="C36" s="99">
        <v>32</v>
      </c>
    </row>
    <row r="37" spans="1:3" x14ac:dyDescent="0.25">
      <c r="A37" t="s">
        <v>89</v>
      </c>
    </row>
    <row r="38" spans="1:3" x14ac:dyDescent="0.25">
      <c r="A38" t="s">
        <v>90</v>
      </c>
      <c r="C38" s="29" t="s">
        <v>53</v>
      </c>
    </row>
    <row r="39" spans="1:3" x14ac:dyDescent="0.25">
      <c r="C39" s="99">
        <v>33</v>
      </c>
    </row>
    <row r="40" spans="1:3" x14ac:dyDescent="0.25">
      <c r="A40" t="s">
        <v>91</v>
      </c>
    </row>
    <row r="41" spans="1:3" x14ac:dyDescent="0.25">
      <c r="A41" t="s">
        <v>92</v>
      </c>
    </row>
    <row r="43" spans="1:3" x14ac:dyDescent="0.25">
      <c r="A43" t="s">
        <v>93</v>
      </c>
    </row>
    <row r="45" spans="1:3" x14ac:dyDescent="0.25">
      <c r="A45" t="s">
        <v>94</v>
      </c>
    </row>
    <row r="47" spans="1:3" x14ac:dyDescent="0.25">
      <c r="A47" t="s">
        <v>95</v>
      </c>
    </row>
    <row r="48" spans="1:3" x14ac:dyDescent="0.25">
      <c r="A48" t="s">
        <v>96</v>
      </c>
    </row>
    <row r="49" spans="1:2" x14ac:dyDescent="0.25">
      <c r="A49" t="s">
        <v>97</v>
      </c>
    </row>
    <row r="50" spans="1:2" x14ac:dyDescent="0.25">
      <c r="A50" t="s">
        <v>98</v>
      </c>
    </row>
    <row r="51" spans="1:2" x14ac:dyDescent="0.25">
      <c r="A51" t="s">
        <v>99</v>
      </c>
    </row>
    <row r="52" spans="1:2" x14ac:dyDescent="0.25">
      <c r="A52" t="s">
        <v>100</v>
      </c>
    </row>
    <row r="54" spans="1:2" x14ac:dyDescent="0.25">
      <c r="A54" s="103" t="s">
        <v>74</v>
      </c>
      <c r="B54" s="103" t="s">
        <v>73</v>
      </c>
    </row>
    <row r="55" spans="1:2" x14ac:dyDescent="0.25">
      <c r="A55" t="s">
        <v>49</v>
      </c>
      <c r="B55">
        <v>1</v>
      </c>
    </row>
    <row r="56" spans="1:2" x14ac:dyDescent="0.25">
      <c r="A56" t="s">
        <v>50</v>
      </c>
      <c r="B56">
        <v>0</v>
      </c>
    </row>
    <row r="57" spans="1:2" x14ac:dyDescent="0.25">
      <c r="A57" t="s">
        <v>51</v>
      </c>
      <c r="B57">
        <v>0</v>
      </c>
    </row>
    <row r="58" spans="1:2" x14ac:dyDescent="0.25">
      <c r="A58" t="s">
        <v>101</v>
      </c>
      <c r="B58">
        <v>0</v>
      </c>
    </row>
  </sheetData>
  <printOptions horizontalCentered="1"/>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January, 2024 ©&amp;R&amp;"Arial,Bold"&amp;10&amp;P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2CD96-BD2A-489C-8849-20E08BEFA78A}">
  <sheetPr>
    <tabColor rgb="FF00B050"/>
  </sheetPr>
  <dimension ref="A1:Q190"/>
  <sheetViews>
    <sheetView zoomScaleNormal="100" workbookViewId="0">
      <selection activeCell="D3" sqref="D3"/>
    </sheetView>
  </sheetViews>
  <sheetFormatPr defaultColWidth="9" defaultRowHeight="15.6" x14ac:dyDescent="0.3"/>
  <cols>
    <col min="1" max="1" width="10.59765625" style="715" customWidth="1"/>
    <col min="2" max="2" width="14.59765625" style="716" customWidth="1"/>
    <col min="3" max="3" width="65.59765625" style="719" customWidth="1"/>
    <col min="4" max="4" width="65.59765625" style="655" customWidth="1"/>
    <col min="5" max="5" width="10.59765625" style="655" hidden="1" customWidth="1"/>
    <col min="6" max="6" width="6.59765625" style="655" hidden="1" customWidth="1"/>
    <col min="7" max="7" width="30.59765625" style="655" customWidth="1"/>
    <col min="8" max="11" width="8.59765625" style="668" hidden="1" customWidth="1"/>
    <col min="12" max="12" width="0" style="655" hidden="1" customWidth="1"/>
    <col min="13" max="16384" width="9" style="655"/>
  </cols>
  <sheetData>
    <row r="1" spans="1:17" s="660" customFormat="1" ht="105" customHeight="1" thickBot="1" x14ac:dyDescent="0.3">
      <c r="A1" s="656" t="s">
        <v>102</v>
      </c>
      <c r="B1" s="656" t="s">
        <v>103</v>
      </c>
      <c r="C1" s="656" t="str">
        <f>'[5]Support Data'!A18</f>
        <v>Specifications</v>
      </c>
      <c r="D1" s="657" t="str">
        <f>'[5]Support Data'!A19</f>
        <v>Contractor Work Area</v>
      </c>
      <c r="E1" s="657" t="str">
        <f>'[5]Support Data'!A20</f>
        <v>Def ID</v>
      </c>
      <c r="F1" s="658" t="s">
        <v>78</v>
      </c>
      <c r="G1" s="657" t="str">
        <f>'[5]Support Data'!A22</f>
        <v>Availability</v>
      </c>
      <c r="H1" s="659" t="str">
        <f>'[3]Support Data'!A23</f>
        <v>Summary</v>
      </c>
      <c r="I1" s="659" t="str">
        <f>'[3]Support Data'!A24</f>
        <v>Spec Weight</v>
      </c>
      <c r="J1" s="659" t="str">
        <f>'[3]Support Data'!A25</f>
        <v>Avail Weight</v>
      </c>
      <c r="K1" s="659" t="str">
        <f>'[3]Support Data'!A26</f>
        <v>Score</v>
      </c>
      <c r="L1" s="659" t="s">
        <v>104</v>
      </c>
      <c r="M1" s="846"/>
    </row>
    <row r="2" spans="1:17" x14ac:dyDescent="0.3">
      <c r="A2" s="661" t="s">
        <v>927</v>
      </c>
      <c r="B2" s="662"/>
      <c r="C2" s="663"/>
      <c r="D2" s="664"/>
      <c r="E2" s="665"/>
      <c r="F2" s="665"/>
      <c r="G2" s="666"/>
      <c r="H2" s="207">
        <f>COUNTA(B3:B33)</f>
        <v>25</v>
      </c>
      <c r="K2" s="668">
        <f>SUM(K3:K33)</f>
        <v>0</v>
      </c>
    </row>
    <row r="3" spans="1:17" ht="46.8" x14ac:dyDescent="0.3">
      <c r="A3" s="669" t="str">
        <f>IF(L3=1,"NIBRS-"&amp;TEXT(COUNTIF($L$3:L3, "1"), "0"), "")</f>
        <v>NIBRS-1</v>
      </c>
      <c r="B3" s="670" t="s">
        <v>43</v>
      </c>
      <c r="C3" s="671" t="s">
        <v>928</v>
      </c>
      <c r="D3" s="672"/>
      <c r="E3" s="673"/>
      <c r="F3" s="674"/>
      <c r="G3" s="675" t="s">
        <v>101</v>
      </c>
      <c r="H3" s="131">
        <f>COUNTIF(G:G,"=Select from Drop Down List")</f>
        <v>25</v>
      </c>
      <c r="I3" s="654">
        <f t="shared" ref="I3:I9" si="0">IF(NOT(ISBLANK($B3)),VLOOKUP($B3,specdata,2,FALSE),"")</f>
        <v>1</v>
      </c>
      <c r="J3" s="654">
        <f>VLOOKUP(G3,AvailabilityData,2,FALSE)</f>
        <v>0</v>
      </c>
      <c r="K3" s="654">
        <f t="shared" ref="K3:K33" si="1">I3*J3</f>
        <v>0</v>
      </c>
      <c r="L3" s="655">
        <v>1</v>
      </c>
      <c r="O3" s="860"/>
      <c r="P3" s="860"/>
      <c r="Q3" s="860"/>
    </row>
    <row r="4" spans="1:17" x14ac:dyDescent="0.3">
      <c r="A4" s="724"/>
      <c r="B4" s="677"/>
      <c r="C4" s="678" t="s">
        <v>929</v>
      </c>
      <c r="D4" s="679"/>
      <c r="E4" s="680"/>
      <c r="F4" s="681"/>
      <c r="G4" s="682"/>
      <c r="H4" s="131">
        <f>COUNTIF(G:G,"=Function Available")</f>
        <v>0</v>
      </c>
      <c r="I4" s="654"/>
      <c r="J4" s="654"/>
      <c r="K4" s="654">
        <f t="shared" si="1"/>
        <v>0</v>
      </c>
      <c r="O4" s="860"/>
      <c r="P4" s="860"/>
      <c r="Q4" s="860"/>
    </row>
    <row r="5" spans="1:17" ht="30" customHeight="1" x14ac:dyDescent="0.3">
      <c r="A5" s="723" t="str">
        <f>IF(L5=1,"NIBRS-"&amp;TEXT(COUNTIF($L$3:L5, "1"), "0"), "")</f>
        <v>NIBRS-2</v>
      </c>
      <c r="B5" s="683" t="s">
        <v>43</v>
      </c>
      <c r="C5" s="684" t="s">
        <v>930</v>
      </c>
      <c r="D5" s="685"/>
      <c r="E5" s="686"/>
      <c r="F5" s="687"/>
      <c r="G5" s="688" t="s">
        <v>101</v>
      </c>
      <c r="H5" s="131">
        <f>COUNTIF(F:G,"=Function Not Available")</f>
        <v>0</v>
      </c>
      <c r="I5" s="654">
        <f t="shared" si="0"/>
        <v>1</v>
      </c>
      <c r="J5" s="654">
        <f t="shared" ref="J5:J9" si="2">VLOOKUP(G5,AvailabilityData,2,FALSE)</f>
        <v>0</v>
      </c>
      <c r="K5" s="654">
        <f t="shared" si="1"/>
        <v>0</v>
      </c>
      <c r="L5" s="655">
        <v>1</v>
      </c>
      <c r="O5" s="860"/>
      <c r="P5" s="860"/>
      <c r="Q5" s="860"/>
    </row>
    <row r="6" spans="1:17" ht="30" customHeight="1" x14ac:dyDescent="0.3">
      <c r="A6" s="723" t="str">
        <f>IF(L6=1,"NIBRS-"&amp;TEXT(COUNTIF($L$3:L6, "1"), "0"), "")</f>
        <v>NIBRS-3</v>
      </c>
      <c r="B6" s="689" t="s">
        <v>43</v>
      </c>
      <c r="C6" s="690" t="s">
        <v>931</v>
      </c>
      <c r="D6" s="691"/>
      <c r="E6" s="686"/>
      <c r="F6" s="692"/>
      <c r="G6" s="693" t="s">
        <v>101</v>
      </c>
      <c r="H6" s="131">
        <f>COUNTIF(G:G,"=Exception")</f>
        <v>0</v>
      </c>
      <c r="I6" s="654">
        <f t="shared" si="0"/>
        <v>1</v>
      </c>
      <c r="J6" s="654">
        <f t="shared" si="2"/>
        <v>0</v>
      </c>
      <c r="K6" s="654">
        <f t="shared" si="1"/>
        <v>0</v>
      </c>
      <c r="L6" s="655">
        <v>1</v>
      </c>
      <c r="O6" s="860"/>
      <c r="P6" s="860"/>
      <c r="Q6" s="860"/>
    </row>
    <row r="7" spans="1:17" ht="30" customHeight="1" x14ac:dyDescent="0.3">
      <c r="A7" s="723" t="str">
        <f>IF(L7=1,"NIBRS-"&amp;TEXT(COUNTIF($L$3:L7, "1"), "0"), "")</f>
        <v>NIBRS-4</v>
      </c>
      <c r="B7" s="694" t="s">
        <v>43</v>
      </c>
      <c r="C7" s="695" t="s">
        <v>932</v>
      </c>
      <c r="D7" s="696"/>
      <c r="E7" s="673"/>
      <c r="F7" s="697"/>
      <c r="G7" s="693" t="s">
        <v>101</v>
      </c>
      <c r="H7" s="140">
        <f>COUNTIFS(B:B,"=Critical",G:G,"=Select from Drop Down List")</f>
        <v>0</v>
      </c>
      <c r="I7" s="654">
        <f t="shared" si="0"/>
        <v>1</v>
      </c>
      <c r="J7" s="654">
        <f t="shared" si="2"/>
        <v>0</v>
      </c>
      <c r="K7" s="654">
        <f t="shared" si="1"/>
        <v>0</v>
      </c>
      <c r="L7" s="655">
        <v>1</v>
      </c>
    </row>
    <row r="8" spans="1:17" ht="30" customHeight="1" x14ac:dyDescent="0.3">
      <c r="A8" s="723" t="str">
        <f>IF(L8=1,"NIBRS-"&amp;TEXT(COUNTIF($L$3:L8, "1"), "0"), "")</f>
        <v>NIBRS-5</v>
      </c>
      <c r="B8" s="689" t="s">
        <v>43</v>
      </c>
      <c r="C8" s="690" t="s">
        <v>933</v>
      </c>
      <c r="D8" s="691"/>
      <c r="E8" s="699"/>
      <c r="F8" s="693"/>
      <c r="G8" s="700" t="s">
        <v>101</v>
      </c>
      <c r="H8" s="140">
        <f>COUNTIFS(B:B,"=Critical",G:G,"=Function Available")</f>
        <v>0</v>
      </c>
      <c r="I8" s="654">
        <f t="shared" si="0"/>
        <v>1</v>
      </c>
      <c r="J8" s="654">
        <f t="shared" si="2"/>
        <v>0</v>
      </c>
      <c r="K8" s="654">
        <f t="shared" si="1"/>
        <v>0</v>
      </c>
      <c r="L8" s="655">
        <v>1</v>
      </c>
    </row>
    <row r="9" spans="1:17" ht="46.8" x14ac:dyDescent="0.3">
      <c r="A9" s="723" t="str">
        <f>IF(L9=1,"NIBRS-"&amp;TEXT(COUNTIF($L$3:L9, "1"), "0"), "")</f>
        <v>NIBRS-6</v>
      </c>
      <c r="B9" s="701" t="s">
        <v>43</v>
      </c>
      <c r="C9" s="690" t="s">
        <v>934</v>
      </c>
      <c r="D9" s="691"/>
      <c r="E9" s="699"/>
      <c r="F9" s="693"/>
      <c r="G9" s="700" t="s">
        <v>101</v>
      </c>
      <c r="H9" s="140">
        <f>COUNTIFS(B:B,"=Critical",G:G,"=Function Not Available")</f>
        <v>0</v>
      </c>
      <c r="I9" s="654">
        <f t="shared" si="0"/>
        <v>1</v>
      </c>
      <c r="J9" s="654">
        <f t="shared" si="2"/>
        <v>0</v>
      </c>
      <c r="K9" s="654">
        <f t="shared" si="1"/>
        <v>0</v>
      </c>
      <c r="L9" s="655">
        <v>1</v>
      </c>
    </row>
    <row r="10" spans="1:17" ht="46.8" x14ac:dyDescent="0.3">
      <c r="A10" s="723" t="str">
        <f>IF(L10=1,"NIBRS-"&amp;TEXT(COUNTIF($L$3:L10, "1"), "0"), "")</f>
        <v>NIBRS-7</v>
      </c>
      <c r="B10" s="702" t="s">
        <v>43</v>
      </c>
      <c r="C10" s="695" t="s">
        <v>935</v>
      </c>
      <c r="D10" s="696"/>
      <c r="E10" s="703"/>
      <c r="F10" s="704"/>
      <c r="G10" s="705" t="s">
        <v>101</v>
      </c>
      <c r="H10" s="140">
        <f>COUNTIFS(B:B,"=Critical",G:G,"=Exception")</f>
        <v>0</v>
      </c>
      <c r="I10" s="668">
        <f t="shared" ref="I10:I23" si="3">IF(NOT(ISBLANK($B10)),VLOOKUP($B10,specdata,2,FALSE),"")</f>
        <v>1</v>
      </c>
      <c r="J10" s="668">
        <f t="shared" ref="J10:J23" si="4">VLOOKUP(G10,AvailabilityData,2,FALSE)</f>
        <v>0</v>
      </c>
      <c r="K10" s="668">
        <f t="shared" si="1"/>
        <v>0</v>
      </c>
      <c r="L10" s="655">
        <v>1</v>
      </c>
    </row>
    <row r="11" spans="1:17" x14ac:dyDescent="0.3">
      <c r="A11" s="726"/>
      <c r="B11" s="706"/>
      <c r="C11" s="707" t="s">
        <v>936</v>
      </c>
      <c r="D11" s="708"/>
      <c r="E11" s="680"/>
      <c r="F11" s="681"/>
      <c r="G11" s="682"/>
      <c r="H11" s="146">
        <f>COUNTIFS(B:B,"=Important",G:G,"=Select from Drop Down List")</f>
        <v>25</v>
      </c>
      <c r="K11" s="668">
        <f t="shared" si="1"/>
        <v>0</v>
      </c>
    </row>
    <row r="12" spans="1:17" ht="46.8" x14ac:dyDescent="0.3">
      <c r="A12" s="723" t="str">
        <f>IF(L12=1,"NIBRS-"&amp;TEXT(COUNTIF($L$3:L12, "1"), "0"), "")</f>
        <v>NIBRS-8</v>
      </c>
      <c r="B12" s="683" t="s">
        <v>43</v>
      </c>
      <c r="C12" s="684" t="s">
        <v>937</v>
      </c>
      <c r="D12" s="710"/>
      <c r="E12" s="686"/>
      <c r="F12" s="688"/>
      <c r="G12" s="711" t="s">
        <v>101</v>
      </c>
      <c r="H12" s="146">
        <f>COUNTIFS(B:B,"=Important",G:G,"=Function Available")</f>
        <v>0</v>
      </c>
      <c r="I12" s="668">
        <f t="shared" si="3"/>
        <v>1</v>
      </c>
      <c r="J12" s="668">
        <f t="shared" si="4"/>
        <v>0</v>
      </c>
      <c r="K12" s="668">
        <f t="shared" si="1"/>
        <v>0</v>
      </c>
      <c r="L12" s="655">
        <v>1</v>
      </c>
    </row>
    <row r="13" spans="1:17" ht="46.8" x14ac:dyDescent="0.3">
      <c r="A13" s="723" t="str">
        <f>IF(L13=1,"NIBRS-"&amp;TEXT(COUNTIF($L$3:L13, "1"), "0"), "")</f>
        <v>NIBRS-9</v>
      </c>
      <c r="B13" s="683" t="s">
        <v>43</v>
      </c>
      <c r="C13" s="684" t="s">
        <v>938</v>
      </c>
      <c r="D13" s="710"/>
      <c r="E13" s="686"/>
      <c r="F13" s="687"/>
      <c r="G13" s="693" t="s">
        <v>101</v>
      </c>
      <c r="H13" s="146">
        <f>COUNTIFS(B:B,"=Important",G:G,"=Function Not Available")</f>
        <v>0</v>
      </c>
      <c r="I13" s="668">
        <f t="shared" si="3"/>
        <v>1</v>
      </c>
      <c r="J13" s="668">
        <f t="shared" si="4"/>
        <v>0</v>
      </c>
      <c r="K13" s="668">
        <f t="shared" si="1"/>
        <v>0</v>
      </c>
      <c r="L13" s="655">
        <v>1</v>
      </c>
    </row>
    <row r="14" spans="1:17" ht="46.8" x14ac:dyDescent="0.3">
      <c r="A14" s="723" t="str">
        <f>IF(L14=1,"NIBRS-"&amp;TEXT(COUNTIF($L$3:L14, "1"), "0"), "")</f>
        <v>NIBRS-10</v>
      </c>
      <c r="B14" s="702" t="s">
        <v>43</v>
      </c>
      <c r="C14" s="695" t="s">
        <v>939</v>
      </c>
      <c r="D14" s="696"/>
      <c r="E14" s="673"/>
      <c r="F14" s="697"/>
      <c r="G14" s="704" t="s">
        <v>101</v>
      </c>
      <c r="H14" s="146">
        <f>COUNTIFS(B:B,"=Important",G:G,"=Exception")</f>
        <v>0</v>
      </c>
      <c r="I14" s="668">
        <f t="shared" si="3"/>
        <v>1</v>
      </c>
      <c r="J14" s="668">
        <f t="shared" si="4"/>
        <v>0</v>
      </c>
      <c r="K14" s="668">
        <f t="shared" si="1"/>
        <v>0</v>
      </c>
      <c r="L14" s="655">
        <v>1</v>
      </c>
    </row>
    <row r="15" spans="1:17" x14ac:dyDescent="0.3">
      <c r="A15" s="725"/>
      <c r="B15" s="706"/>
      <c r="C15" s="707" t="s">
        <v>940</v>
      </c>
      <c r="D15" s="708"/>
      <c r="E15" s="680"/>
      <c r="F15" s="681"/>
      <c r="G15" s="682"/>
      <c r="H15" s="147">
        <f>COUNTIFS(B:B,"=Informational",G:G,"=Select from Drop Down List")</f>
        <v>0</v>
      </c>
      <c r="K15" s="668">
        <f t="shared" si="1"/>
        <v>0</v>
      </c>
    </row>
    <row r="16" spans="1:17" ht="30" customHeight="1" x14ac:dyDescent="0.3">
      <c r="A16" s="723" t="str">
        <f>IF(L16=1,"NIBRS-"&amp;TEXT(COUNTIF($L$3:L16, "1"), "0"), "")</f>
        <v>NIBRS-11</v>
      </c>
      <c r="B16" s="683" t="s">
        <v>43</v>
      </c>
      <c r="C16" s="684" t="s">
        <v>941</v>
      </c>
      <c r="D16" s="710"/>
      <c r="E16" s="686"/>
      <c r="F16" s="687"/>
      <c r="G16" s="688" t="s">
        <v>101</v>
      </c>
      <c r="H16" s="147">
        <f>COUNTIFS(B:B,"=Informational",G:G,"=Function Available")</f>
        <v>0</v>
      </c>
      <c r="I16" s="668">
        <f t="shared" si="3"/>
        <v>1</v>
      </c>
      <c r="J16" s="668">
        <f t="shared" si="4"/>
        <v>0</v>
      </c>
      <c r="K16" s="668">
        <f t="shared" si="1"/>
        <v>0</v>
      </c>
      <c r="L16" s="655">
        <v>1</v>
      </c>
    </row>
    <row r="17" spans="1:12" ht="30" customHeight="1" x14ac:dyDescent="0.3">
      <c r="A17" s="723" t="str">
        <f>IF(L17=1,"NIBRS-"&amp;TEXT(COUNTIF($L$3:L17, "1"), "0"), "")</f>
        <v>NIBRS-12</v>
      </c>
      <c r="B17" s="713" t="s">
        <v>43</v>
      </c>
      <c r="C17" s="690" t="s">
        <v>942</v>
      </c>
      <c r="D17" s="691"/>
      <c r="E17" s="686"/>
      <c r="F17" s="692"/>
      <c r="G17" s="693" t="s">
        <v>101</v>
      </c>
      <c r="H17" s="147">
        <f>COUNTIFS(B:B,"=Informational",G:G,"=Function Not Available")</f>
        <v>0</v>
      </c>
      <c r="I17" s="668">
        <f t="shared" si="3"/>
        <v>1</v>
      </c>
      <c r="J17" s="668">
        <f t="shared" si="4"/>
        <v>0</v>
      </c>
      <c r="K17" s="668">
        <f t="shared" si="1"/>
        <v>0</v>
      </c>
      <c r="L17" s="655">
        <v>1</v>
      </c>
    </row>
    <row r="18" spans="1:12" ht="30" customHeight="1" x14ac:dyDescent="0.3">
      <c r="A18" s="723" t="str">
        <f>IF(L18=1,"NIBRS-"&amp;TEXT(COUNTIF($L$3:L18, "1"), "0"), "")</f>
        <v>NIBRS-13</v>
      </c>
      <c r="B18" s="713" t="s">
        <v>43</v>
      </c>
      <c r="C18" s="690" t="s">
        <v>943</v>
      </c>
      <c r="D18" s="691"/>
      <c r="E18" s="686"/>
      <c r="F18" s="692"/>
      <c r="G18" s="693" t="s">
        <v>101</v>
      </c>
      <c r="H18" s="147">
        <f>COUNTIFS(B:B,"=Informational",G:G,"=Exception")</f>
        <v>0</v>
      </c>
      <c r="I18" s="668">
        <f t="shared" si="3"/>
        <v>1</v>
      </c>
      <c r="J18" s="668">
        <f t="shared" si="4"/>
        <v>0</v>
      </c>
      <c r="K18" s="668">
        <f t="shared" si="1"/>
        <v>0</v>
      </c>
      <c r="L18" s="655">
        <v>1</v>
      </c>
    </row>
    <row r="19" spans="1:12" ht="30" customHeight="1" x14ac:dyDescent="0.3">
      <c r="A19" s="723" t="str">
        <f>IF(L19=1,"NIBRS-"&amp;TEXT(COUNTIF($L$3:L19, "1"), "0"), "")</f>
        <v>NIBRS-14</v>
      </c>
      <c r="B19" s="713" t="s">
        <v>43</v>
      </c>
      <c r="C19" s="690" t="s">
        <v>944</v>
      </c>
      <c r="D19" s="691"/>
      <c r="E19" s="686"/>
      <c r="F19" s="692"/>
      <c r="G19" s="693" t="s">
        <v>101</v>
      </c>
      <c r="I19" s="668">
        <f t="shared" si="3"/>
        <v>1</v>
      </c>
      <c r="J19" s="668">
        <f t="shared" si="4"/>
        <v>0</v>
      </c>
      <c r="K19" s="668">
        <f t="shared" si="1"/>
        <v>0</v>
      </c>
      <c r="L19" s="655">
        <v>1</v>
      </c>
    </row>
    <row r="20" spans="1:12" ht="46.8" x14ac:dyDescent="0.3">
      <c r="A20" s="723" t="str">
        <f>IF(L20=1,"NIBRS-"&amp;TEXT(COUNTIF($L$3:L20, "1"), "0"), "")</f>
        <v>NIBRS-15</v>
      </c>
      <c r="B20" s="713" t="s">
        <v>43</v>
      </c>
      <c r="C20" s="690" t="s">
        <v>945</v>
      </c>
      <c r="D20" s="691"/>
      <c r="E20" s="686"/>
      <c r="F20" s="692"/>
      <c r="G20" s="693" t="s">
        <v>101</v>
      </c>
      <c r="I20" s="668">
        <f t="shared" si="3"/>
        <v>1</v>
      </c>
      <c r="J20" s="668">
        <f t="shared" si="4"/>
        <v>0</v>
      </c>
      <c r="K20" s="668">
        <f t="shared" si="1"/>
        <v>0</v>
      </c>
      <c r="L20" s="655">
        <v>1</v>
      </c>
    </row>
    <row r="21" spans="1:12" ht="30" customHeight="1" x14ac:dyDescent="0.3">
      <c r="A21" s="723" t="str">
        <f>IF(L21=1,"NIBRS-"&amp;TEXT(COUNTIF($L$3:L21, "1"), "0"), "")</f>
        <v>NIBRS-16</v>
      </c>
      <c r="B21" s="702" t="s">
        <v>43</v>
      </c>
      <c r="C21" s="695" t="s">
        <v>946</v>
      </c>
      <c r="D21" s="696"/>
      <c r="E21" s="673"/>
      <c r="F21" s="697"/>
      <c r="G21" s="704" t="s">
        <v>101</v>
      </c>
      <c r="I21" s="668">
        <f t="shared" si="3"/>
        <v>1</v>
      </c>
      <c r="J21" s="668">
        <f t="shared" si="4"/>
        <v>0</v>
      </c>
      <c r="K21" s="668">
        <f t="shared" si="1"/>
        <v>0</v>
      </c>
      <c r="L21" s="655">
        <v>1</v>
      </c>
    </row>
    <row r="22" spans="1:12" x14ac:dyDescent="0.3">
      <c r="A22" s="724"/>
      <c r="B22" s="706"/>
      <c r="C22" s="707" t="s">
        <v>168</v>
      </c>
      <c r="D22" s="708"/>
      <c r="E22" s="680"/>
      <c r="F22" s="681"/>
      <c r="G22" s="682"/>
      <c r="K22" s="668">
        <f t="shared" si="1"/>
        <v>0</v>
      </c>
    </row>
    <row r="23" spans="1:12" ht="30" customHeight="1" x14ac:dyDescent="0.3">
      <c r="A23" s="723" t="str">
        <f>IF(L23=1,"NIBRS-"&amp;TEXT(COUNTIF($L$3:L23, "1"), "0"), "")</f>
        <v>NIBRS-17</v>
      </c>
      <c r="B23" s="683" t="s">
        <v>43</v>
      </c>
      <c r="C23" s="684" t="s">
        <v>185</v>
      </c>
      <c r="D23" s="710"/>
      <c r="E23" s="686"/>
      <c r="F23" s="688"/>
      <c r="G23" s="688" t="s">
        <v>101</v>
      </c>
      <c r="I23" s="668">
        <f t="shared" si="3"/>
        <v>1</v>
      </c>
      <c r="J23" s="668">
        <f t="shared" si="4"/>
        <v>0</v>
      </c>
      <c r="K23" s="668">
        <f t="shared" si="1"/>
        <v>0</v>
      </c>
      <c r="L23" s="655">
        <v>1</v>
      </c>
    </row>
    <row r="24" spans="1:12" ht="30" customHeight="1" x14ac:dyDescent="0.3">
      <c r="A24" s="723" t="str">
        <f>IF(L24=1,"NIBRS-"&amp;TEXT(COUNTIF($L$3:L24, "1"), "0"), "")</f>
        <v>NIBRS-18</v>
      </c>
      <c r="B24" s="713" t="s">
        <v>43</v>
      </c>
      <c r="C24" s="714" t="s">
        <v>170</v>
      </c>
      <c r="D24" s="691"/>
      <c r="E24" s="699"/>
      <c r="F24" s="693"/>
      <c r="G24" s="693" t="s">
        <v>101</v>
      </c>
      <c r="I24" s="668">
        <f t="shared" ref="I24:I33" si="5">IF(NOT(ISBLANK($B24)),VLOOKUP($B24,specdata,2,FALSE),"")</f>
        <v>1</v>
      </c>
      <c r="J24" s="668">
        <f t="shared" ref="J24:J33" si="6">VLOOKUP(G24,AvailabilityData,2,FALSE)</f>
        <v>0</v>
      </c>
      <c r="K24" s="668">
        <f t="shared" si="1"/>
        <v>0</v>
      </c>
      <c r="L24" s="655">
        <v>1</v>
      </c>
    </row>
    <row r="25" spans="1:12" ht="30" customHeight="1" x14ac:dyDescent="0.3">
      <c r="A25" s="723" t="str">
        <f>IF(L25=1,"NIBRS-"&amp;TEXT(COUNTIF($L$3:L25, "1"), "0"), "")</f>
        <v>NIBRS-19</v>
      </c>
      <c r="B25" s="702" t="s">
        <v>43</v>
      </c>
      <c r="C25" s="695" t="s">
        <v>207</v>
      </c>
      <c r="D25" s="696"/>
      <c r="E25" s="673"/>
      <c r="F25" s="697"/>
      <c r="G25" s="704" t="s">
        <v>101</v>
      </c>
      <c r="I25" s="668">
        <f t="shared" si="5"/>
        <v>1</v>
      </c>
      <c r="J25" s="668">
        <f t="shared" si="6"/>
        <v>0</v>
      </c>
      <c r="K25" s="668">
        <f t="shared" si="1"/>
        <v>0</v>
      </c>
      <c r="L25" s="655">
        <v>1</v>
      </c>
    </row>
    <row r="26" spans="1:12" x14ac:dyDescent="0.3">
      <c r="A26" s="726"/>
      <c r="B26" s="706"/>
      <c r="C26" s="707" t="s">
        <v>165</v>
      </c>
      <c r="D26" s="708"/>
      <c r="E26" s="680"/>
      <c r="F26" s="681"/>
      <c r="G26" s="682"/>
      <c r="K26" s="668">
        <f t="shared" si="1"/>
        <v>0</v>
      </c>
    </row>
    <row r="27" spans="1:12" ht="30" customHeight="1" x14ac:dyDescent="0.3">
      <c r="A27" s="723" t="str">
        <f>IF(L27=1,"NIBRS-"&amp;TEXT(COUNTIF($L$3:L27, "1"), "0"), "")</f>
        <v>NIBRS-20</v>
      </c>
      <c r="B27" s="683" t="s">
        <v>43</v>
      </c>
      <c r="C27" s="684" t="s">
        <v>208</v>
      </c>
      <c r="D27" s="710"/>
      <c r="E27" s="686"/>
      <c r="F27" s="687"/>
      <c r="G27" s="722" t="s">
        <v>101</v>
      </c>
      <c r="I27" s="668">
        <f t="shared" si="5"/>
        <v>1</v>
      </c>
      <c r="J27" s="668">
        <f t="shared" si="6"/>
        <v>0</v>
      </c>
      <c r="K27" s="668">
        <f t="shared" si="1"/>
        <v>0</v>
      </c>
      <c r="L27" s="655">
        <v>1</v>
      </c>
    </row>
    <row r="28" spans="1:12" ht="31.2" x14ac:dyDescent="0.3">
      <c r="A28" s="723" t="str">
        <f>IF(L28=1,"NIBRS-"&amp;TEXT(COUNTIF($L$3:L28, "1"), "0"), "")</f>
        <v>NIBRS-21</v>
      </c>
      <c r="B28" s="713" t="s">
        <v>43</v>
      </c>
      <c r="C28" s="690" t="s">
        <v>947</v>
      </c>
      <c r="D28" s="691"/>
      <c r="E28" s="686"/>
      <c r="F28" s="692"/>
      <c r="G28" s="693" t="s">
        <v>101</v>
      </c>
      <c r="I28" s="668">
        <f t="shared" si="5"/>
        <v>1</v>
      </c>
      <c r="J28" s="668">
        <f t="shared" si="6"/>
        <v>0</v>
      </c>
      <c r="K28" s="668">
        <f t="shared" si="1"/>
        <v>0</v>
      </c>
      <c r="L28" s="655">
        <v>1</v>
      </c>
    </row>
    <row r="29" spans="1:12" ht="30" customHeight="1" x14ac:dyDescent="0.3">
      <c r="A29" s="723" t="str">
        <f>IF(L29=1,"NIBRS-"&amp;TEXT(COUNTIF($L$3:L29, "1"), "0"), "")</f>
        <v>NIBRS-22</v>
      </c>
      <c r="B29" s="702" t="s">
        <v>43</v>
      </c>
      <c r="C29" s="695" t="s">
        <v>948</v>
      </c>
      <c r="D29" s="696"/>
      <c r="E29" s="673"/>
      <c r="F29" s="697"/>
      <c r="G29" s="704" t="s">
        <v>101</v>
      </c>
      <c r="I29" s="668">
        <f t="shared" si="5"/>
        <v>1</v>
      </c>
      <c r="J29" s="668">
        <f t="shared" si="6"/>
        <v>0</v>
      </c>
      <c r="K29" s="668">
        <f t="shared" si="1"/>
        <v>0</v>
      </c>
      <c r="L29" s="655">
        <v>1</v>
      </c>
    </row>
    <row r="30" spans="1:12" x14ac:dyDescent="0.3">
      <c r="A30" s="725"/>
      <c r="B30" s="706"/>
      <c r="C30" s="707" t="s">
        <v>174</v>
      </c>
      <c r="D30" s="708"/>
      <c r="E30" s="680"/>
      <c r="F30" s="681"/>
      <c r="G30" s="682"/>
      <c r="K30" s="668">
        <f t="shared" si="1"/>
        <v>0</v>
      </c>
    </row>
    <row r="31" spans="1:12" ht="30" customHeight="1" x14ac:dyDescent="0.3">
      <c r="A31" s="723" t="str">
        <f>IF(L31=1,"NIBRS-"&amp;TEXT(COUNTIF($L$3:L31, "1"), "0"), "")</f>
        <v>NIBRS-23</v>
      </c>
      <c r="B31" s="683" t="s">
        <v>43</v>
      </c>
      <c r="C31" s="684" t="s">
        <v>258</v>
      </c>
      <c r="D31" s="710"/>
      <c r="E31" s="686"/>
      <c r="F31" s="687"/>
      <c r="G31" s="688" t="s">
        <v>101</v>
      </c>
      <c r="I31" s="668">
        <f t="shared" si="5"/>
        <v>1</v>
      </c>
      <c r="J31" s="668">
        <f t="shared" si="6"/>
        <v>0</v>
      </c>
      <c r="K31" s="668">
        <f t="shared" si="1"/>
        <v>0</v>
      </c>
      <c r="L31" s="655">
        <v>1</v>
      </c>
    </row>
    <row r="32" spans="1:12" ht="31.2" x14ac:dyDescent="0.3">
      <c r="A32" s="723" t="str">
        <f>IF(L32=1,"NIBRS-"&amp;TEXT(COUNTIF($L$3:L32, "1"), "0"), "")</f>
        <v>NIBRS-24</v>
      </c>
      <c r="B32" s="713" t="s">
        <v>43</v>
      </c>
      <c r="C32" s="690" t="s">
        <v>949</v>
      </c>
      <c r="D32" s="691"/>
      <c r="E32" s="686"/>
      <c r="F32" s="692"/>
      <c r="G32" s="693" t="s">
        <v>101</v>
      </c>
      <c r="I32" s="668">
        <f t="shared" si="5"/>
        <v>1</v>
      </c>
      <c r="J32" s="668">
        <f t="shared" si="6"/>
        <v>0</v>
      </c>
      <c r="K32" s="668">
        <f t="shared" si="1"/>
        <v>0</v>
      </c>
      <c r="L32" s="655">
        <v>1</v>
      </c>
    </row>
    <row r="33" spans="1:12" ht="62.4" x14ac:dyDescent="0.3">
      <c r="A33" s="723" t="str">
        <f>IF(L33=1,"NIBRS-"&amp;TEXT(COUNTIF($L$3:L33, "1"), "0"), "")</f>
        <v>NIBRS-25</v>
      </c>
      <c r="B33" s="713" t="s">
        <v>43</v>
      </c>
      <c r="C33" s="690" t="s">
        <v>950</v>
      </c>
      <c r="D33" s="691"/>
      <c r="E33" s="686"/>
      <c r="F33" s="692"/>
      <c r="G33" s="693" t="s">
        <v>101</v>
      </c>
      <c r="I33" s="668">
        <f t="shared" si="5"/>
        <v>1</v>
      </c>
      <c r="J33" s="668">
        <f t="shared" si="6"/>
        <v>0</v>
      </c>
      <c r="K33" s="668">
        <f t="shared" si="1"/>
        <v>0</v>
      </c>
      <c r="L33" s="655">
        <v>1</v>
      </c>
    </row>
    <row r="34" spans="1:12" ht="49.5" customHeight="1" x14ac:dyDescent="0.3">
      <c r="C34" s="717"/>
      <c r="D34" s="718"/>
    </row>
    <row r="35" spans="1:12" ht="30" customHeight="1" x14ac:dyDescent="0.3">
      <c r="D35" s="720"/>
    </row>
    <row r="36" spans="1:12" ht="30" customHeight="1" x14ac:dyDescent="0.3">
      <c r="D36" s="720"/>
    </row>
    <row r="37" spans="1:12" ht="30" customHeight="1" x14ac:dyDescent="0.3">
      <c r="D37" s="720"/>
    </row>
    <row r="38" spans="1:12" ht="30" customHeight="1" x14ac:dyDescent="0.3">
      <c r="D38" s="720"/>
    </row>
    <row r="39" spans="1:12" ht="30" customHeight="1" x14ac:dyDescent="0.3">
      <c r="D39" s="721"/>
    </row>
    <row r="40" spans="1:12" ht="30" customHeight="1" x14ac:dyDescent="0.3">
      <c r="D40" s="721"/>
    </row>
    <row r="41" spans="1:12" ht="30" customHeight="1" x14ac:dyDescent="0.3">
      <c r="D41" s="721"/>
    </row>
    <row r="42" spans="1:12" ht="30" customHeight="1" x14ac:dyDescent="0.3">
      <c r="D42" s="720"/>
    </row>
    <row r="43" spans="1:12" ht="30" customHeight="1" x14ac:dyDescent="0.3">
      <c r="D43" s="720"/>
    </row>
    <row r="44" spans="1:12" ht="30" customHeight="1" x14ac:dyDescent="0.3">
      <c r="D44" s="720"/>
    </row>
    <row r="45" spans="1:12" ht="30" customHeight="1" x14ac:dyDescent="0.3">
      <c r="D45" s="720"/>
    </row>
    <row r="46" spans="1:12" ht="30" customHeight="1" x14ac:dyDescent="0.3">
      <c r="D46" s="720"/>
    </row>
    <row r="47" spans="1:12" ht="30" customHeight="1" x14ac:dyDescent="0.3">
      <c r="D47" s="720"/>
    </row>
    <row r="48" spans="1:12" ht="30" customHeight="1" x14ac:dyDescent="0.3">
      <c r="D48" s="721"/>
    </row>
    <row r="49" ht="30" customHeight="1" x14ac:dyDescent="0.3"/>
    <row r="50" ht="30" customHeight="1" x14ac:dyDescent="0.3"/>
    <row r="51" ht="45"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15" customHeight="1" x14ac:dyDescent="0.3"/>
    <row r="59" ht="15"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8" spans="4:4" ht="30" customHeight="1" x14ac:dyDescent="0.3">
      <c r="D98" s="721"/>
    </row>
    <row r="99" spans="4:4" ht="30" customHeight="1" x14ac:dyDescent="0.3">
      <c r="D99" s="721"/>
    </row>
    <row r="100" spans="4:4" ht="30" customHeight="1" x14ac:dyDescent="0.3">
      <c r="D100" s="721"/>
    </row>
    <row r="101" spans="4:4" ht="30" customHeight="1" x14ac:dyDescent="0.3"/>
    <row r="102" spans="4:4" ht="30" customHeight="1" x14ac:dyDescent="0.3">
      <c r="D102" s="720"/>
    </row>
    <row r="103" spans="4:4" ht="30" customHeight="1" x14ac:dyDescent="0.3">
      <c r="D103" s="720"/>
    </row>
    <row r="104" spans="4:4" ht="30" customHeight="1" x14ac:dyDescent="0.3">
      <c r="D104" s="720"/>
    </row>
    <row r="105" spans="4:4" ht="30" customHeight="1" x14ac:dyDescent="0.3">
      <c r="D105" s="720"/>
    </row>
    <row r="106" spans="4:4" ht="30" customHeight="1" x14ac:dyDescent="0.3">
      <c r="D106" s="720"/>
    </row>
    <row r="107" spans="4:4" ht="30" customHeight="1" x14ac:dyDescent="0.3">
      <c r="D107" s="720"/>
    </row>
    <row r="108" spans="4:4" ht="30" customHeight="1" x14ac:dyDescent="0.3">
      <c r="D108" s="720"/>
    </row>
    <row r="109" spans="4:4" ht="30" customHeight="1" x14ac:dyDescent="0.3">
      <c r="D109" s="720"/>
    </row>
    <row r="110" spans="4:4" ht="30" customHeight="1" x14ac:dyDescent="0.3">
      <c r="D110" s="721"/>
    </row>
    <row r="111" spans="4:4" ht="30" customHeight="1" x14ac:dyDescent="0.3">
      <c r="D111" s="721"/>
    </row>
    <row r="112" spans="4:4" ht="30" customHeight="1" x14ac:dyDescent="0.3">
      <c r="D112" s="721"/>
    </row>
    <row r="113" spans="4:4" ht="30" customHeight="1" x14ac:dyDescent="0.3">
      <c r="D113" s="721"/>
    </row>
    <row r="114" spans="4:4" ht="30" customHeight="1" x14ac:dyDescent="0.3">
      <c r="D114" s="720"/>
    </row>
    <row r="115" spans="4:4" ht="30" customHeight="1" x14ac:dyDescent="0.3">
      <c r="D115" s="720"/>
    </row>
    <row r="116" spans="4:4" ht="30" customHeight="1" x14ac:dyDescent="0.3">
      <c r="D116" s="720"/>
    </row>
    <row r="117" spans="4:4" ht="30" customHeight="1" x14ac:dyDescent="0.3">
      <c r="D117" s="720"/>
    </row>
    <row r="118" spans="4:4" ht="30" customHeight="1" x14ac:dyDescent="0.3">
      <c r="D118" s="720"/>
    </row>
    <row r="119" spans="4:4" ht="30" customHeight="1" x14ac:dyDescent="0.3">
      <c r="D119" s="720"/>
    </row>
    <row r="120" spans="4:4" ht="30" customHeight="1" x14ac:dyDescent="0.3">
      <c r="D120" s="720"/>
    </row>
    <row r="121" spans="4:4" ht="30" customHeight="1" x14ac:dyDescent="0.3">
      <c r="D121" s="720"/>
    </row>
    <row r="122" spans="4:4" ht="30" customHeight="1" x14ac:dyDescent="0.3"/>
    <row r="123" spans="4:4" ht="30" customHeight="1" x14ac:dyDescent="0.3"/>
    <row r="124" spans="4:4" ht="30" customHeight="1" x14ac:dyDescent="0.3"/>
    <row r="125" spans="4:4" ht="30" customHeight="1" x14ac:dyDescent="0.3"/>
    <row r="126" spans="4:4" ht="30" customHeight="1" x14ac:dyDescent="0.3"/>
    <row r="127" spans="4:4" ht="30" customHeight="1" x14ac:dyDescent="0.3"/>
    <row r="128" spans="4:4"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45"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59.25" customHeight="1" x14ac:dyDescent="0.3"/>
  </sheetData>
  <sheetProtection algorithmName="SHA-512" hashValue="OUjXIg/H8n49va0+e10+WW4GzNmDSG5zsntk+tSfA+/Su3Ek8qdvT20qhQS2ynQJ50Y6FdJooXEIDOfFheGAVA==" saltValue="7nG9Q8IO7gG87RQeS/F15A==" spinCount="100000" sheet="1" objects="1" scenarios="1"/>
  <mergeCells count="1">
    <mergeCell ref="O3:Q6"/>
  </mergeCells>
  <conditionalFormatting sqref="B1:B2 B5 B9:B1048576">
    <cfRule type="cellIs" dxfId="152" priority="11" operator="equal">
      <formula>"Highly Advantageous"</formula>
    </cfRule>
  </conditionalFormatting>
  <conditionalFormatting sqref="B1:B1048576">
    <cfRule type="cellIs" dxfId="151" priority="1" operator="equal">
      <formula>"Informational"</formula>
    </cfRule>
    <cfRule type="cellIs" dxfId="150" priority="6" stopIfTrue="1" operator="equal">
      <formula>"Critical"</formula>
    </cfRule>
    <cfRule type="cellIs" dxfId="149" priority="8" operator="equal">
      <formula>"Not Needed"</formula>
    </cfRule>
    <cfRule type="cellIs" dxfId="148" priority="9" operator="equal">
      <formula>"Extremely Advantageous"</formula>
    </cfRule>
  </conditionalFormatting>
  <conditionalFormatting sqref="B2 B5:B33">
    <cfRule type="cellIs" dxfId="147" priority="12" stopIfTrue="1" operator="equal">
      <formula>"Mandatory"</formula>
    </cfRule>
  </conditionalFormatting>
  <conditionalFormatting sqref="B3:B4">
    <cfRule type="cellIs" dxfId="146" priority="7" stopIfTrue="1" operator="equal">
      <formula>"Mandatory"</formula>
    </cfRule>
    <cfRule type="cellIs" dxfId="145" priority="10" stopIfTrue="1" operator="equal">
      <formula>"Highly Advantageous"</formula>
    </cfRule>
  </conditionalFormatting>
  <conditionalFormatting sqref="G1:G1048576">
    <cfRule type="cellIs" dxfId="144" priority="2" operator="equal">
      <formula>"Exception"</formula>
    </cfRule>
  </conditionalFormatting>
  <conditionalFormatting sqref="G3:G33">
    <cfRule type="cellIs" dxfId="143" priority="13"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33" xr:uid="{72F33AFC-6DF8-41FA-A621-D63EBB850067}">
      <formula1>SpecType1</formula1>
    </dataValidation>
    <dataValidation type="list" allowBlank="1" showInputMessage="1" showErrorMessage="1" sqref="G3:G33" xr:uid="{AF7A355A-6796-4E08-B276-FD762A696476}">
      <formula1>Availability1</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F0"/>
    <pageSetUpPr fitToPage="1"/>
  </sheetPr>
  <dimension ref="A1:K159"/>
  <sheetViews>
    <sheetView zoomScale="90" zoomScaleNormal="90" zoomScalePageLayoutView="70" workbookViewId="0"/>
  </sheetViews>
  <sheetFormatPr defaultColWidth="9" defaultRowHeight="13.8" x14ac:dyDescent="0.25"/>
  <cols>
    <col min="1" max="1" width="12.59765625" style="195" customWidth="1"/>
    <col min="2" max="2" width="14.59765625" style="195" customWidth="1"/>
    <col min="3" max="3" width="65.59765625" style="504" customWidth="1"/>
    <col min="4" max="4" width="65.59765625" style="197" customWidth="1"/>
    <col min="5" max="5" width="10.59765625" style="197" customWidth="1"/>
    <col min="6" max="6" width="6.59765625" style="197" customWidth="1"/>
    <col min="7" max="7" width="30.59765625" style="197" customWidth="1"/>
    <col min="8" max="11" width="8.59765625" style="197" customWidth="1"/>
    <col min="12" max="16384" width="9" style="197"/>
  </cols>
  <sheetData>
    <row r="1" spans="1:11" s="124" customFormat="1" ht="105" customHeight="1" x14ac:dyDescent="0.25">
      <c r="A1" s="158" t="s">
        <v>102</v>
      </c>
      <c r="B1" s="158" t="s">
        <v>103</v>
      </c>
      <c r="C1" s="505" t="str">
        <f>'Support Data'!A18</f>
        <v>Specifications</v>
      </c>
      <c r="D1" s="159" t="str">
        <f>'Support Data'!$A$19</f>
        <v>Contractor Work Area</v>
      </c>
      <c r="E1" s="159" t="str">
        <f>'Support Data'!A20</f>
        <v>Def ID</v>
      </c>
      <c r="F1" s="160" t="s">
        <v>78</v>
      </c>
      <c r="G1" s="159" t="str">
        <f>'Support Data'!A22</f>
        <v>Availability</v>
      </c>
      <c r="H1" s="123" t="str">
        <f>'Support Data'!A24</f>
        <v>Summary</v>
      </c>
      <c r="I1" s="123" t="str">
        <f>'Support Data'!A25</f>
        <v>Spec Weight</v>
      </c>
      <c r="J1" s="123" t="str">
        <f>'Support Data'!A26</f>
        <v>Avail Weight</v>
      </c>
      <c r="K1" s="123" t="str">
        <f>'Support Data'!A27</f>
        <v>Score</v>
      </c>
    </row>
    <row r="2" spans="1:11" ht="15.6" x14ac:dyDescent="0.3">
      <c r="A2" s="198" t="s">
        <v>951</v>
      </c>
      <c r="B2" s="161"/>
      <c r="C2" s="506"/>
      <c r="D2" s="200"/>
      <c r="E2" s="201"/>
      <c r="F2" s="201"/>
      <c r="G2" s="201"/>
      <c r="H2" s="197">
        <f>COUNTA(B3:B25)</f>
        <v>20</v>
      </c>
      <c r="K2" s="115" t="e">
        <f>SUM(K3:K25)</f>
        <v>#N/A</v>
      </c>
    </row>
    <row r="3" spans="1:11" ht="30" customHeight="1" x14ac:dyDescent="0.3">
      <c r="A3" s="216" t="s">
        <v>952</v>
      </c>
      <c r="B3" s="203" t="s">
        <v>262</v>
      </c>
      <c r="C3" s="365" t="s">
        <v>953</v>
      </c>
      <c r="D3" s="218"/>
      <c r="E3" s="219"/>
      <c r="F3" s="166"/>
      <c r="G3" s="299" t="s">
        <v>101</v>
      </c>
      <c r="H3" s="115">
        <f>COUNTIF(G:G,"=Select from Drop Down List")</f>
        <v>20</v>
      </c>
      <c r="I3" s="116" t="e">
        <f t="shared" ref="I3:I8" si="0">IF(NOT(ISBLANK($B3)),VLOOKUP($B3,specdata,2,FALSE()),"")</f>
        <v>#N/A</v>
      </c>
      <c r="J3" s="207">
        <f t="shared" ref="J3:J8" si="1">VLOOKUP(G3,AvailabilityData,2,FALSE())</f>
        <v>0</v>
      </c>
      <c r="K3" s="116" t="e">
        <f t="shared" ref="K3:K8" si="2">I3*J3</f>
        <v>#N/A</v>
      </c>
    </row>
    <row r="4" spans="1:11" ht="30" customHeight="1" x14ac:dyDescent="0.3">
      <c r="A4" s="216" t="s">
        <v>954</v>
      </c>
      <c r="B4" s="203" t="s">
        <v>262</v>
      </c>
      <c r="C4" s="365" t="s">
        <v>955</v>
      </c>
      <c r="D4" s="218"/>
      <c r="E4" s="219"/>
      <c r="F4" s="166"/>
      <c r="G4" s="299" t="s">
        <v>101</v>
      </c>
      <c r="H4" s="115">
        <f>COUNTIF(G:G,"=Function Available")</f>
        <v>0</v>
      </c>
      <c r="I4" s="116" t="e">
        <f t="shared" si="0"/>
        <v>#N/A</v>
      </c>
      <c r="J4" s="207">
        <f t="shared" si="1"/>
        <v>0</v>
      </c>
      <c r="K4" s="116" t="e">
        <f t="shared" si="2"/>
        <v>#N/A</v>
      </c>
    </row>
    <row r="5" spans="1:11" ht="27.6" x14ac:dyDescent="0.3">
      <c r="A5" s="216" t="s">
        <v>956</v>
      </c>
      <c r="B5" s="203" t="s">
        <v>262</v>
      </c>
      <c r="C5" s="365" t="s">
        <v>957</v>
      </c>
      <c r="D5" s="218"/>
      <c r="E5" s="219"/>
      <c r="F5" s="166"/>
      <c r="G5" s="299" t="s">
        <v>101</v>
      </c>
      <c r="H5" s="115">
        <f>COUNTIF(F:G,"=Function Not Available")</f>
        <v>0</v>
      </c>
      <c r="I5" s="116" t="e">
        <f t="shared" si="0"/>
        <v>#N/A</v>
      </c>
      <c r="J5" s="207">
        <f t="shared" si="1"/>
        <v>0</v>
      </c>
      <c r="K5" s="116" t="e">
        <f t="shared" si="2"/>
        <v>#N/A</v>
      </c>
    </row>
    <row r="6" spans="1:11" ht="30" customHeight="1" x14ac:dyDescent="0.3">
      <c r="A6" s="216" t="s">
        <v>958</v>
      </c>
      <c r="B6" s="203" t="s">
        <v>262</v>
      </c>
      <c r="C6" s="365" t="s">
        <v>959</v>
      </c>
      <c r="D6" s="218"/>
      <c r="E6" s="219"/>
      <c r="F6" s="166"/>
      <c r="G6" s="299" t="s">
        <v>101</v>
      </c>
      <c r="H6" s="115">
        <f>COUNTIF(G:G,"=Exception")</f>
        <v>0</v>
      </c>
      <c r="I6" s="116" t="e">
        <f t="shared" si="0"/>
        <v>#N/A</v>
      </c>
      <c r="J6" s="207">
        <f t="shared" si="1"/>
        <v>0</v>
      </c>
      <c r="K6" s="116" t="e">
        <f t="shared" si="2"/>
        <v>#N/A</v>
      </c>
    </row>
    <row r="7" spans="1:11" ht="30" customHeight="1" x14ac:dyDescent="0.3">
      <c r="A7" s="216" t="s">
        <v>960</v>
      </c>
      <c r="B7" s="311" t="s">
        <v>262</v>
      </c>
      <c r="C7" s="498" t="s">
        <v>505</v>
      </c>
      <c r="D7" s="228"/>
      <c r="E7" s="229"/>
      <c r="F7" s="173"/>
      <c r="G7" s="299" t="s">
        <v>101</v>
      </c>
      <c r="H7" s="300">
        <f>COUNTIFS(B:B,"=Extremely Advantageous",G:G,"=Select from Drop Down List")</f>
        <v>0</v>
      </c>
      <c r="I7" s="116" t="e">
        <f t="shared" si="0"/>
        <v>#N/A</v>
      </c>
      <c r="J7" s="207">
        <f t="shared" si="1"/>
        <v>0</v>
      </c>
      <c r="K7" s="116" t="e">
        <f t="shared" si="2"/>
        <v>#N/A</v>
      </c>
    </row>
    <row r="8" spans="1:11" ht="45" customHeight="1" x14ac:dyDescent="0.3">
      <c r="A8" s="216" t="s">
        <v>961</v>
      </c>
      <c r="B8" s="290" t="s">
        <v>262</v>
      </c>
      <c r="C8" s="337" t="s">
        <v>962</v>
      </c>
      <c r="D8" s="292"/>
      <c r="E8" s="224"/>
      <c r="F8" s="176"/>
      <c r="G8" s="301" t="s">
        <v>101</v>
      </c>
      <c r="H8" s="300">
        <f>COUNTIFS(B:B,"=Extremely Advantageous",G:G,"=Function Available")</f>
        <v>0</v>
      </c>
      <c r="I8" s="116" t="e">
        <f t="shared" si="0"/>
        <v>#N/A</v>
      </c>
      <c r="J8" s="207">
        <f t="shared" si="1"/>
        <v>0</v>
      </c>
      <c r="K8" s="116" t="e">
        <f t="shared" si="2"/>
        <v>#N/A</v>
      </c>
    </row>
    <row r="9" spans="1:11" ht="15.6" x14ac:dyDescent="0.3">
      <c r="A9" s="210"/>
      <c r="B9" s="211"/>
      <c r="C9" s="364" t="s">
        <v>168</v>
      </c>
      <c r="D9" s="294"/>
      <c r="E9" s="214"/>
      <c r="F9" s="181"/>
      <c r="G9" s="215"/>
      <c r="H9" s="300">
        <f>COUNTIFS(B:B,"=Extremely Advantageous",G:G,"=Function Not Available")</f>
        <v>0</v>
      </c>
      <c r="I9" s="116"/>
      <c r="J9" s="207"/>
      <c r="K9" s="116"/>
    </row>
    <row r="10" spans="1:11" ht="30" customHeight="1" x14ac:dyDescent="0.3">
      <c r="A10" s="216" t="s">
        <v>963</v>
      </c>
      <c r="B10" s="203" t="s">
        <v>262</v>
      </c>
      <c r="C10" s="365" t="s">
        <v>185</v>
      </c>
      <c r="D10" s="295"/>
      <c r="E10" s="219"/>
      <c r="F10" s="187"/>
      <c r="G10" s="302" t="s">
        <v>101</v>
      </c>
      <c r="H10" s="300">
        <f>COUNTIFS(B:B,"=Extremely Advantageous",G:G,"=Exception")</f>
        <v>0</v>
      </c>
      <c r="I10" s="116" t="e">
        <f t="shared" ref="I10:I15" si="3">IF(NOT(ISBLANK($B10)),VLOOKUP($B10,specdata,2,FALSE()),"")</f>
        <v>#N/A</v>
      </c>
      <c r="J10" s="207">
        <f t="shared" ref="J10:J15" si="4">VLOOKUP(G10,AvailabilityData,2,FALSE())</f>
        <v>0</v>
      </c>
      <c r="K10" s="116" t="e">
        <f t="shared" ref="K10:K15" si="5">I10*J10</f>
        <v>#N/A</v>
      </c>
    </row>
    <row r="11" spans="1:11" ht="30" customHeight="1" x14ac:dyDescent="0.3">
      <c r="A11" s="216" t="s">
        <v>964</v>
      </c>
      <c r="B11" s="297" t="s">
        <v>262</v>
      </c>
      <c r="C11" s="336" t="s">
        <v>170</v>
      </c>
      <c r="D11" s="298"/>
      <c r="E11" s="205"/>
      <c r="F11" s="137"/>
      <c r="G11" s="303" t="s">
        <v>101</v>
      </c>
      <c r="H11" s="304">
        <f>COUNTIFS(B:B,"=Advantageous",G:G,"=Select from Drop Down List")</f>
        <v>20</v>
      </c>
      <c r="I11" s="116" t="e">
        <f t="shared" si="3"/>
        <v>#N/A</v>
      </c>
      <c r="J11" s="207">
        <f t="shared" si="4"/>
        <v>0</v>
      </c>
      <c r="K11" s="116" t="e">
        <f t="shared" si="5"/>
        <v>#N/A</v>
      </c>
    </row>
    <row r="12" spans="1:11" ht="30" customHeight="1" x14ac:dyDescent="0.3">
      <c r="A12" s="216" t="s">
        <v>965</v>
      </c>
      <c r="B12" s="297" t="s">
        <v>262</v>
      </c>
      <c r="C12" s="336" t="s">
        <v>171</v>
      </c>
      <c r="D12" s="298"/>
      <c r="E12" s="205"/>
      <c r="F12" s="137"/>
      <c r="G12" s="303" t="s">
        <v>101</v>
      </c>
      <c r="H12" s="304">
        <f>COUNTIFS(B:B,"=Advantageous",G:G,"=Function Available")</f>
        <v>0</v>
      </c>
      <c r="I12" s="116" t="e">
        <f t="shared" si="3"/>
        <v>#N/A</v>
      </c>
      <c r="J12" s="207">
        <f t="shared" si="4"/>
        <v>0</v>
      </c>
      <c r="K12" s="116" t="e">
        <f t="shared" si="5"/>
        <v>#N/A</v>
      </c>
    </row>
    <row r="13" spans="1:11" ht="30" customHeight="1" x14ac:dyDescent="0.3">
      <c r="A13" s="216" t="s">
        <v>966</v>
      </c>
      <c r="B13" s="297" t="s">
        <v>262</v>
      </c>
      <c r="C13" s="336" t="s">
        <v>172</v>
      </c>
      <c r="D13" s="298"/>
      <c r="E13" s="205"/>
      <c r="F13" s="137"/>
      <c r="G13" s="303" t="s">
        <v>101</v>
      </c>
      <c r="H13" s="304">
        <f>COUNTIFS(B:B,"=Advantageous",G:G,"=Function Not Available")</f>
        <v>0</v>
      </c>
      <c r="I13" s="116" t="e">
        <f t="shared" si="3"/>
        <v>#N/A</v>
      </c>
      <c r="J13" s="207">
        <f t="shared" si="4"/>
        <v>0</v>
      </c>
      <c r="K13" s="116" t="e">
        <f t="shared" si="5"/>
        <v>#N/A</v>
      </c>
    </row>
    <row r="14" spans="1:11" ht="30" customHeight="1" x14ac:dyDescent="0.3">
      <c r="A14" s="216" t="s">
        <v>967</v>
      </c>
      <c r="B14" s="203" t="s">
        <v>262</v>
      </c>
      <c r="C14" s="365" t="s">
        <v>255</v>
      </c>
      <c r="D14" s="295"/>
      <c r="E14" s="219"/>
      <c r="F14" s="191"/>
      <c r="G14" s="299" t="s">
        <v>101</v>
      </c>
      <c r="H14" s="304">
        <f>COUNTIFS(B:B,"=Advantageous",G:G,"=Exception")</f>
        <v>0</v>
      </c>
      <c r="I14" s="116" t="e">
        <f t="shared" si="3"/>
        <v>#N/A</v>
      </c>
      <c r="J14" s="207">
        <f t="shared" si="4"/>
        <v>0</v>
      </c>
      <c r="K14" s="116" t="e">
        <f t="shared" si="5"/>
        <v>#N/A</v>
      </c>
    </row>
    <row r="15" spans="1:11" ht="30" customHeight="1" x14ac:dyDescent="0.3">
      <c r="A15" s="216" t="s">
        <v>968</v>
      </c>
      <c r="B15" s="311" t="s">
        <v>262</v>
      </c>
      <c r="C15" s="337" t="s">
        <v>207</v>
      </c>
      <c r="D15" s="507"/>
      <c r="E15" s="229"/>
      <c r="F15" s="173"/>
      <c r="G15" s="293" t="s">
        <v>101</v>
      </c>
      <c r="H15" s="257">
        <f>COUNTIFS(B:B,"=Minimal",G:G,"=Select from Drop Down List")</f>
        <v>0</v>
      </c>
      <c r="I15" s="116" t="e">
        <f t="shared" si="3"/>
        <v>#N/A</v>
      </c>
      <c r="J15" s="207">
        <f t="shared" si="4"/>
        <v>0</v>
      </c>
      <c r="K15" s="116" t="e">
        <f t="shared" si="5"/>
        <v>#N/A</v>
      </c>
    </row>
    <row r="16" spans="1:11" ht="15.6" x14ac:dyDescent="0.3">
      <c r="A16" s="210"/>
      <c r="B16" s="211"/>
      <c r="C16" s="364" t="s">
        <v>165</v>
      </c>
      <c r="D16" s="294"/>
      <c r="E16" s="214"/>
      <c r="F16" s="181"/>
      <c r="G16" s="215"/>
      <c r="H16" s="257">
        <f>COUNTIFS(B:B,"=Minimal",G:G,"=Function Available")</f>
        <v>0</v>
      </c>
      <c r="I16" s="116"/>
      <c r="J16" s="207"/>
      <c r="K16" s="116"/>
    </row>
    <row r="17" spans="1:11" ht="30" customHeight="1" x14ac:dyDescent="0.3">
      <c r="A17" s="216" t="s">
        <v>969</v>
      </c>
      <c r="B17" s="203" t="s">
        <v>262</v>
      </c>
      <c r="C17" s="365" t="s">
        <v>208</v>
      </c>
      <c r="D17" s="295"/>
      <c r="E17" s="219"/>
      <c r="F17" s="191"/>
      <c r="G17" s="296" t="s">
        <v>101</v>
      </c>
      <c r="H17" s="257">
        <f>COUNTIFS(B:B,"=Minimal",G:G,"=Function Not Available")</f>
        <v>0</v>
      </c>
      <c r="I17" s="116" t="e">
        <f>IF(NOT(ISBLANK($B17)),VLOOKUP($B17,specdata,2,FALSE()),"")</f>
        <v>#N/A</v>
      </c>
      <c r="J17" s="207">
        <f>VLOOKUP(G17,AvailabilityData,2,FALSE())</f>
        <v>0</v>
      </c>
      <c r="K17" s="116" t="e">
        <f>I17*J17</f>
        <v>#N/A</v>
      </c>
    </row>
    <row r="18" spans="1:11" ht="30" customHeight="1" x14ac:dyDescent="0.3">
      <c r="A18" s="216" t="s">
        <v>970</v>
      </c>
      <c r="B18" s="203" t="s">
        <v>262</v>
      </c>
      <c r="C18" s="336" t="s">
        <v>524</v>
      </c>
      <c r="D18" s="295"/>
      <c r="E18" s="219"/>
      <c r="F18" s="166"/>
      <c r="G18" s="299" t="s">
        <v>101</v>
      </c>
      <c r="H18" s="257">
        <f>COUNTIFS(B:B,"=Minimal",G:G,"=Exception")</f>
        <v>0</v>
      </c>
      <c r="I18" s="116" t="e">
        <f>IF(NOT(ISBLANK($B18)),VLOOKUP($B18,specdata,2,FALSE()),"")</f>
        <v>#N/A</v>
      </c>
      <c r="J18" s="207">
        <f>VLOOKUP(G18,AvailabilityData,2,FALSE())</f>
        <v>0</v>
      </c>
      <c r="K18" s="116" t="e">
        <f>I18*J18</f>
        <v>#N/A</v>
      </c>
    </row>
    <row r="19" spans="1:11" ht="45" customHeight="1" x14ac:dyDescent="0.3">
      <c r="A19" s="216" t="s">
        <v>971</v>
      </c>
      <c r="B19" s="203" t="s">
        <v>262</v>
      </c>
      <c r="C19" s="336" t="s">
        <v>210</v>
      </c>
      <c r="D19" s="295"/>
      <c r="E19" s="219"/>
      <c r="F19" s="166"/>
      <c r="G19" s="299" t="s">
        <v>101</v>
      </c>
      <c r="I19" s="116" t="e">
        <f>IF(NOT(ISBLANK($B19)),VLOOKUP($B19,specdata,2,FALSE()),"")</f>
        <v>#N/A</v>
      </c>
      <c r="J19" s="207">
        <f>VLOOKUP(G19,AvailabilityData,2,FALSE())</f>
        <v>0</v>
      </c>
      <c r="K19" s="116" t="e">
        <f>I19*J19</f>
        <v>#N/A</v>
      </c>
    </row>
    <row r="20" spans="1:11" ht="45" customHeight="1" x14ac:dyDescent="0.3">
      <c r="A20" s="216" t="s">
        <v>972</v>
      </c>
      <c r="B20" s="311" t="s">
        <v>262</v>
      </c>
      <c r="C20" s="337" t="s">
        <v>211</v>
      </c>
      <c r="D20" s="358"/>
      <c r="E20" s="229"/>
      <c r="F20" s="173"/>
      <c r="G20" s="293" t="s">
        <v>101</v>
      </c>
      <c r="I20" s="116" t="e">
        <f>IF(NOT(ISBLANK($B20)),VLOOKUP($B20,specdata,2,FALSE()),"")</f>
        <v>#N/A</v>
      </c>
      <c r="J20" s="207">
        <f>VLOOKUP(G20,AvailabilityData,2,FALSE())</f>
        <v>0</v>
      </c>
      <c r="K20" s="116" t="e">
        <f>I20*J20</f>
        <v>#N/A</v>
      </c>
    </row>
    <row r="21" spans="1:11" ht="15.6" x14ac:dyDescent="0.3">
      <c r="A21" s="210"/>
      <c r="B21" s="211"/>
      <c r="C21" s="364" t="s">
        <v>174</v>
      </c>
      <c r="D21" s="294"/>
      <c r="E21" s="214"/>
      <c r="F21" s="181"/>
      <c r="G21" s="215"/>
      <c r="I21" s="116"/>
      <c r="J21" s="207"/>
      <c r="K21" s="116"/>
    </row>
    <row r="22" spans="1:11" ht="30" customHeight="1" x14ac:dyDescent="0.3">
      <c r="A22" s="216" t="s">
        <v>973</v>
      </c>
      <c r="B22" s="203" t="s">
        <v>262</v>
      </c>
      <c r="C22" s="365" t="s">
        <v>974</v>
      </c>
      <c r="D22" s="218"/>
      <c r="E22" s="219"/>
      <c r="F22" s="191"/>
      <c r="G22" s="296" t="s">
        <v>101</v>
      </c>
      <c r="I22" s="116" t="e">
        <f>IF(NOT(ISBLANK($B22)),VLOOKUP($B22,specdata,2,FALSE()),"")</f>
        <v>#N/A</v>
      </c>
      <c r="J22" s="207">
        <f>VLOOKUP(G22,AvailabilityData,2,FALSE())</f>
        <v>0</v>
      </c>
      <c r="K22" s="116" t="e">
        <f>I22*J22</f>
        <v>#N/A</v>
      </c>
    </row>
    <row r="23" spans="1:11" ht="27.6" x14ac:dyDescent="0.3">
      <c r="A23" s="216" t="s">
        <v>975</v>
      </c>
      <c r="B23" s="203" t="s">
        <v>262</v>
      </c>
      <c r="C23" s="365" t="s">
        <v>976</v>
      </c>
      <c r="D23" s="218"/>
      <c r="E23" s="219"/>
      <c r="F23" s="166"/>
      <c r="G23" s="299" t="s">
        <v>101</v>
      </c>
      <c r="I23" s="116" t="e">
        <f>IF(NOT(ISBLANK($B23)),VLOOKUP($B23,specdata,2,FALSE()),"")</f>
        <v>#N/A</v>
      </c>
      <c r="J23" s="207">
        <f>VLOOKUP(G23,AvailabilityData,2,FALSE())</f>
        <v>0</v>
      </c>
      <c r="K23" s="116" t="e">
        <f>I23*J23</f>
        <v>#N/A</v>
      </c>
    </row>
    <row r="24" spans="1:11" ht="41.4" x14ac:dyDescent="0.3">
      <c r="A24" s="216" t="s">
        <v>977</v>
      </c>
      <c r="B24" s="203" t="s">
        <v>262</v>
      </c>
      <c r="C24" s="365" t="s">
        <v>193</v>
      </c>
      <c r="D24" s="218"/>
      <c r="E24" s="219"/>
      <c r="F24" s="166"/>
      <c r="G24" s="299" t="s">
        <v>101</v>
      </c>
      <c r="I24" s="116" t="e">
        <f>IF(NOT(ISBLANK($B24)),VLOOKUP($B24,specdata,2,FALSE()),"")</f>
        <v>#N/A</v>
      </c>
      <c r="J24" s="207">
        <f>VLOOKUP(G24,AvailabilityData,2,FALSE())</f>
        <v>0</v>
      </c>
      <c r="K24" s="116" t="e">
        <f>I24*J24</f>
        <v>#N/A</v>
      </c>
    </row>
    <row r="25" spans="1:11" ht="27.6" x14ac:dyDescent="0.3">
      <c r="A25" s="216" t="s">
        <v>978</v>
      </c>
      <c r="B25" s="203" t="s">
        <v>262</v>
      </c>
      <c r="C25" s="365" t="s">
        <v>979</v>
      </c>
      <c r="D25" s="218"/>
      <c r="E25" s="219"/>
      <c r="F25" s="166"/>
      <c r="G25" s="299" t="s">
        <v>101</v>
      </c>
      <c r="I25" s="116" t="e">
        <f>IF(NOT(ISBLANK($B25)),VLOOKUP($B25,specdata,2,FALSE()),"")</f>
        <v>#N/A</v>
      </c>
      <c r="J25" s="207">
        <f>VLOOKUP(G25,AvailabilityData,2,FALSE())</f>
        <v>0</v>
      </c>
      <c r="K25" s="116" t="e">
        <f>I25*J25</f>
        <v>#N/A</v>
      </c>
    </row>
    <row r="26" spans="1:11" ht="30" customHeight="1" x14ac:dyDescent="0.25"/>
    <row r="27" spans="1:11" ht="15" customHeight="1" x14ac:dyDescent="0.25"/>
    <row r="28" spans="1:11" ht="15" customHeight="1" x14ac:dyDescent="0.25"/>
    <row r="29" spans="1:11" ht="30" customHeight="1" x14ac:dyDescent="0.25"/>
    <row r="30" spans="1:11" ht="30" customHeight="1" x14ac:dyDescent="0.25"/>
    <row r="31" spans="1:11" ht="30" customHeight="1" x14ac:dyDescent="0.25"/>
    <row r="32" spans="1:11"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row r="43" ht="30" customHeight="1" x14ac:dyDescent="0.25"/>
    <row r="44" ht="30" customHeight="1" x14ac:dyDescent="0.25"/>
    <row r="45" ht="30" customHeight="1" x14ac:dyDescent="0.25"/>
    <row r="46" ht="30" customHeight="1" x14ac:dyDescent="0.25"/>
    <row r="47" ht="30" customHeight="1" x14ac:dyDescent="0.25"/>
    <row r="50" ht="30" customHeight="1" x14ac:dyDescent="0.25"/>
    <row r="51" ht="30" customHeight="1" x14ac:dyDescent="0.25"/>
    <row r="52" ht="30" customHeight="1" x14ac:dyDescent="0.25"/>
    <row r="53" ht="30" customHeight="1" x14ac:dyDescent="0.25"/>
    <row r="54" ht="30" customHeight="1" x14ac:dyDescent="0.25"/>
    <row r="55" ht="30" customHeight="1" x14ac:dyDescent="0.25"/>
    <row r="56" ht="30" customHeight="1" x14ac:dyDescent="0.25"/>
    <row r="57" ht="30" customHeight="1" x14ac:dyDescent="0.25"/>
    <row r="58" ht="30" customHeight="1" x14ac:dyDescent="0.25"/>
    <row r="59" ht="30" customHeight="1" x14ac:dyDescent="0.25"/>
    <row r="60" ht="30" customHeight="1" x14ac:dyDescent="0.25"/>
    <row r="61" ht="30" customHeight="1" x14ac:dyDescent="0.25"/>
    <row r="62" ht="30" customHeight="1" x14ac:dyDescent="0.25"/>
    <row r="63" ht="30" customHeight="1" x14ac:dyDescent="0.25"/>
    <row r="64" ht="30" customHeight="1" x14ac:dyDescent="0.25"/>
    <row r="65" spans="3:4" ht="30" customHeight="1" x14ac:dyDescent="0.25"/>
    <row r="67" spans="3:4" ht="30" customHeight="1" x14ac:dyDescent="0.25">
      <c r="C67" s="333"/>
      <c r="D67" s="359"/>
    </row>
    <row r="68" spans="3:4" ht="30" customHeight="1" x14ac:dyDescent="0.25">
      <c r="C68" s="333"/>
      <c r="D68" s="359"/>
    </row>
    <row r="69" spans="3:4" ht="30" customHeight="1" x14ac:dyDescent="0.25">
      <c r="C69" s="333"/>
      <c r="D69" s="359"/>
    </row>
    <row r="70" spans="3:4" ht="30" customHeight="1" x14ac:dyDescent="0.25"/>
    <row r="71" spans="3:4" ht="30" customHeight="1" x14ac:dyDescent="0.25">
      <c r="C71" s="333"/>
      <c r="D71" s="360"/>
    </row>
    <row r="72" spans="3:4" ht="30" customHeight="1" x14ac:dyDescent="0.25">
      <c r="C72" s="333"/>
      <c r="D72" s="360"/>
    </row>
    <row r="73" spans="3:4" ht="30" customHeight="1" x14ac:dyDescent="0.25">
      <c r="C73" s="333"/>
      <c r="D73" s="360"/>
    </row>
    <row r="74" spans="3:4" ht="30" customHeight="1" x14ac:dyDescent="0.25">
      <c r="C74" s="333"/>
      <c r="D74" s="360"/>
    </row>
    <row r="75" spans="3:4" ht="30" customHeight="1" x14ac:dyDescent="0.25">
      <c r="C75" s="333"/>
      <c r="D75" s="360"/>
    </row>
    <row r="76" spans="3:4" ht="30" customHeight="1" x14ac:dyDescent="0.25">
      <c r="C76" s="333"/>
      <c r="D76" s="360"/>
    </row>
    <row r="77" spans="3:4" ht="30" customHeight="1" x14ac:dyDescent="0.25">
      <c r="C77" s="333"/>
      <c r="D77" s="360"/>
    </row>
    <row r="78" spans="3:4" ht="30" customHeight="1" x14ac:dyDescent="0.25">
      <c r="C78" s="333"/>
      <c r="D78" s="360"/>
    </row>
    <row r="79" spans="3:4" ht="30" customHeight="1" x14ac:dyDescent="0.25">
      <c r="C79" s="333"/>
      <c r="D79" s="359"/>
    </row>
    <row r="80" spans="3:4" ht="30" customHeight="1" x14ac:dyDescent="0.25">
      <c r="C80" s="333"/>
      <c r="D80" s="359"/>
    </row>
    <row r="81" spans="3:4" ht="30" customHeight="1" x14ac:dyDescent="0.25">
      <c r="C81" s="333"/>
      <c r="D81" s="359"/>
    </row>
    <row r="82" spans="3:4" ht="30" customHeight="1" x14ac:dyDescent="0.25">
      <c r="C82" s="333"/>
      <c r="D82" s="359"/>
    </row>
    <row r="83" spans="3:4" ht="30" customHeight="1" x14ac:dyDescent="0.25">
      <c r="C83" s="333"/>
      <c r="D83" s="360"/>
    </row>
    <row r="84" spans="3:4" ht="30" customHeight="1" x14ac:dyDescent="0.25">
      <c r="C84" s="333"/>
      <c r="D84" s="360"/>
    </row>
    <row r="85" spans="3:4" ht="30" customHeight="1" x14ac:dyDescent="0.25">
      <c r="C85" s="333"/>
      <c r="D85" s="360"/>
    </row>
    <row r="86" spans="3:4" ht="30" customHeight="1" x14ac:dyDescent="0.25">
      <c r="C86" s="333"/>
      <c r="D86" s="360"/>
    </row>
    <row r="87" spans="3:4" ht="30" customHeight="1" x14ac:dyDescent="0.25">
      <c r="C87" s="333"/>
      <c r="D87" s="360"/>
    </row>
    <row r="88" spans="3:4" ht="30" customHeight="1" x14ac:dyDescent="0.25">
      <c r="C88" s="333"/>
      <c r="D88" s="360"/>
    </row>
    <row r="89" spans="3:4" ht="30" customHeight="1" x14ac:dyDescent="0.25">
      <c r="C89" s="333"/>
      <c r="D89" s="360"/>
    </row>
    <row r="90" spans="3:4" ht="30" customHeight="1" x14ac:dyDescent="0.25">
      <c r="C90" s="333"/>
      <c r="D90" s="360"/>
    </row>
    <row r="91" spans="3:4" ht="30" customHeight="1" x14ac:dyDescent="0.25"/>
    <row r="92" spans="3:4" ht="30" customHeight="1" x14ac:dyDescent="0.25"/>
    <row r="93" spans="3:4" ht="30" customHeight="1" x14ac:dyDescent="0.25"/>
    <row r="94" spans="3:4" ht="30" customHeight="1" x14ac:dyDescent="0.25"/>
    <row r="95" spans="3:4" ht="30" customHeight="1" x14ac:dyDescent="0.25"/>
    <row r="96" spans="3:4" ht="30" customHeight="1" x14ac:dyDescent="0.25"/>
    <row r="97" ht="30" customHeight="1" x14ac:dyDescent="0.25"/>
    <row r="98" ht="30" customHeight="1" x14ac:dyDescent="0.25"/>
    <row r="99" ht="30" customHeight="1" x14ac:dyDescent="0.25"/>
    <row r="100" ht="30" customHeight="1" x14ac:dyDescent="0.25"/>
    <row r="101" ht="30" customHeight="1" x14ac:dyDescent="0.25"/>
    <row r="102" ht="30" customHeight="1" x14ac:dyDescent="0.25"/>
    <row r="103" ht="30" customHeight="1" x14ac:dyDescent="0.25"/>
    <row r="104" ht="30" customHeight="1" x14ac:dyDescent="0.25"/>
    <row r="105" ht="30" customHeight="1" x14ac:dyDescent="0.25"/>
    <row r="106" ht="30" customHeight="1" x14ac:dyDescent="0.25"/>
    <row r="107" ht="30" customHeight="1" x14ac:dyDescent="0.25"/>
    <row r="108" ht="30" customHeight="1" x14ac:dyDescent="0.25"/>
    <row r="109" ht="30" customHeight="1" x14ac:dyDescent="0.25"/>
    <row r="110" ht="30" customHeight="1" x14ac:dyDescent="0.25"/>
    <row r="111" ht="30" customHeight="1" x14ac:dyDescent="0.25"/>
    <row r="112" ht="30" customHeight="1" x14ac:dyDescent="0.25"/>
    <row r="113" ht="30" customHeight="1" x14ac:dyDescent="0.25"/>
    <row r="114" ht="30" customHeight="1" x14ac:dyDescent="0.25"/>
    <row r="115" ht="30" customHeight="1" x14ac:dyDescent="0.25"/>
    <row r="116" ht="30" customHeight="1" x14ac:dyDescent="0.25"/>
    <row r="117" ht="30" customHeight="1" x14ac:dyDescent="0.25"/>
    <row r="118" ht="30" customHeight="1" x14ac:dyDescent="0.25"/>
    <row r="119" ht="30" customHeight="1" x14ac:dyDescent="0.25"/>
    <row r="120" ht="30" customHeight="1" x14ac:dyDescent="0.25"/>
    <row r="121" ht="30" customHeight="1" x14ac:dyDescent="0.25"/>
    <row r="122" ht="30" customHeight="1" x14ac:dyDescent="0.25"/>
    <row r="123" ht="30" customHeight="1" x14ac:dyDescent="0.25"/>
    <row r="124" ht="30" customHeight="1" x14ac:dyDescent="0.25"/>
    <row r="125" ht="30" customHeight="1" x14ac:dyDescent="0.25"/>
    <row r="126" ht="30" customHeight="1" x14ac:dyDescent="0.25"/>
    <row r="127" ht="30" customHeight="1" x14ac:dyDescent="0.25"/>
    <row r="128" ht="30" customHeight="1" x14ac:dyDescent="0.25"/>
    <row r="129" ht="30" customHeight="1" x14ac:dyDescent="0.25"/>
    <row r="130" ht="30" customHeight="1" x14ac:dyDescent="0.25"/>
    <row r="131" ht="30" customHeight="1" x14ac:dyDescent="0.25"/>
    <row r="132" ht="30" customHeight="1" x14ac:dyDescent="0.25"/>
    <row r="133" ht="30" customHeight="1" x14ac:dyDescent="0.25"/>
    <row r="134" ht="30" customHeight="1" x14ac:dyDescent="0.25"/>
    <row r="135" ht="30" customHeight="1" x14ac:dyDescent="0.25"/>
    <row r="136" ht="30" customHeight="1" x14ac:dyDescent="0.25"/>
    <row r="137" ht="30" customHeight="1" x14ac:dyDescent="0.25"/>
    <row r="138" ht="30" customHeight="1" x14ac:dyDescent="0.25"/>
    <row r="139" ht="30" customHeight="1" x14ac:dyDescent="0.25"/>
    <row r="140" ht="30" customHeight="1" x14ac:dyDescent="0.25"/>
    <row r="141" ht="30" customHeight="1" x14ac:dyDescent="0.25"/>
    <row r="142" ht="45" customHeight="1" x14ac:dyDescent="0.25"/>
    <row r="143" ht="30" customHeight="1" x14ac:dyDescent="0.25"/>
    <row r="144" ht="30" customHeight="1" x14ac:dyDescent="0.25"/>
    <row r="145" ht="30" customHeight="1" x14ac:dyDescent="0.25"/>
    <row r="146" ht="30" customHeight="1" x14ac:dyDescent="0.25"/>
    <row r="147" ht="30" customHeight="1" x14ac:dyDescent="0.25"/>
    <row r="148" ht="30" customHeight="1" x14ac:dyDescent="0.25"/>
    <row r="149" ht="30" customHeight="1" x14ac:dyDescent="0.25"/>
    <row r="150" ht="30" customHeight="1" x14ac:dyDescent="0.25"/>
    <row r="151" ht="30" customHeight="1" x14ac:dyDescent="0.25"/>
    <row r="152" ht="30" customHeight="1" x14ac:dyDescent="0.25"/>
    <row r="153" ht="30" customHeight="1" x14ac:dyDescent="0.25"/>
    <row r="154" ht="30" customHeight="1" x14ac:dyDescent="0.25"/>
    <row r="155" ht="30" customHeight="1" x14ac:dyDescent="0.25"/>
    <row r="156" ht="30" customHeight="1" x14ac:dyDescent="0.25"/>
    <row r="157" ht="30" customHeight="1" x14ac:dyDescent="0.25"/>
    <row r="158" ht="30" customHeight="1" x14ac:dyDescent="0.25"/>
    <row r="159" ht="59.25" customHeight="1" x14ac:dyDescent="0.25"/>
  </sheetData>
  <conditionalFormatting sqref="B1:B1048576">
    <cfRule type="cellIs" dxfId="142" priority="3" operator="equal">
      <formula>"Not Needed"</formula>
    </cfRule>
    <cfRule type="cellIs" dxfId="141" priority="4" operator="equal">
      <formula>"Highly Advantageous"</formula>
    </cfRule>
    <cfRule type="cellIs" dxfId="140" priority="5" operator="equal">
      <formula>"Extremely Advantageous"</formula>
    </cfRule>
  </conditionalFormatting>
  <conditionalFormatting sqref="G1:G1048576">
    <cfRule type="cellIs" dxfId="139" priority="2" operator="equal">
      <formula>"Exception"</formula>
    </cfRule>
  </conditionalFormatting>
  <conditionalFormatting sqref="G3:G25">
    <cfRule type="cellIs" dxfId="138" priority="6"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25" xr:uid="{00000000-0002-0000-2300-000000000000}">
      <formula1>SpecType</formula1>
      <formula2>0</formula2>
    </dataValidation>
    <dataValidation type="list" allowBlank="1" showInputMessage="1" showErrorMessage="1" sqref="G3:G25" xr:uid="{00000000-0002-0000-2300-000001000000}">
      <formula1>Availability</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January, 2024 ©&amp;R&amp;"Arial,Bold"&amp;10&amp;P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pageSetUpPr fitToPage="1"/>
  </sheetPr>
  <dimension ref="A1:K18"/>
  <sheetViews>
    <sheetView zoomScale="90" zoomScaleNormal="90" zoomScalePageLayoutView="90" workbookViewId="0"/>
  </sheetViews>
  <sheetFormatPr defaultColWidth="28.3984375" defaultRowHeight="15.6" x14ac:dyDescent="0.3"/>
  <cols>
    <col min="1" max="1" width="12.59765625" style="233" customWidth="1"/>
    <col min="2" max="2" width="14.59765625" style="233" customWidth="1"/>
    <col min="3" max="3" width="65.59765625" style="233" customWidth="1"/>
    <col min="4" max="4" width="65.59765625" style="115" customWidth="1"/>
    <col min="5" max="5" width="10.59765625" style="115" customWidth="1"/>
    <col min="6" max="6" width="6.59765625" style="115" customWidth="1"/>
    <col min="7" max="7" width="30.59765625" style="197" customWidth="1"/>
    <col min="8" max="11" width="8.59765625" style="118" customWidth="1"/>
    <col min="12" max="12" width="6.59765625" style="118" customWidth="1"/>
    <col min="13" max="14" width="5.8984375" style="118" customWidth="1"/>
    <col min="15" max="16384" width="28.3984375" style="118"/>
  </cols>
  <sheetData>
    <row r="1" spans="1:11" s="124" customFormat="1" ht="105" customHeight="1" x14ac:dyDescent="0.25">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row>
    <row r="2" spans="1:11" x14ac:dyDescent="0.3">
      <c r="A2" s="508" t="s">
        <v>980</v>
      </c>
      <c r="B2" s="509"/>
      <c r="C2" s="509"/>
      <c r="D2" s="510"/>
      <c r="E2" s="510"/>
      <c r="F2" s="510"/>
      <c r="G2" s="511"/>
      <c r="H2" s="262">
        <f>COUNTA(B3:B7)</f>
        <v>4</v>
      </c>
      <c r="K2" s="115" t="e">
        <f>SUM(K3:K7)</f>
        <v>#N/A</v>
      </c>
    </row>
    <row r="3" spans="1:11" ht="30" customHeight="1" x14ac:dyDescent="0.3">
      <c r="A3" s="342"/>
      <c r="B3" s="211"/>
      <c r="C3" s="212" t="s">
        <v>981</v>
      </c>
      <c r="D3" s="294"/>
      <c r="E3" s="512"/>
      <c r="F3" s="181"/>
      <c r="G3" s="215"/>
      <c r="H3" s="115">
        <f>COUNTIF(G:G,"=Select from Drop Down List")</f>
        <v>4</v>
      </c>
      <c r="I3" s="116"/>
      <c r="J3" s="207"/>
      <c r="K3" s="116"/>
    </row>
    <row r="4" spans="1:11" ht="30" customHeight="1" x14ac:dyDescent="0.3">
      <c r="A4" s="513" t="s">
        <v>982</v>
      </c>
      <c r="B4" s="203" t="s">
        <v>262</v>
      </c>
      <c r="C4" s="217" t="s">
        <v>983</v>
      </c>
      <c r="D4" s="502"/>
      <c r="E4" s="451"/>
      <c r="F4" s="191">
        <v>1</v>
      </c>
      <c r="G4" s="296" t="s">
        <v>101</v>
      </c>
      <c r="H4" s="115">
        <f>COUNTIF(G:G,"=Function Available")</f>
        <v>0</v>
      </c>
      <c r="I4" s="116" t="e">
        <f>IF(NOT(ISBLANK($B4)),VLOOKUP($B4,specdata,2,FALSE()),"")</f>
        <v>#N/A</v>
      </c>
      <c r="J4" s="207">
        <f>VLOOKUP(G4,AvailabilityData,2,FALSE())</f>
        <v>0</v>
      </c>
      <c r="K4" s="116" t="e">
        <f>I4*J4</f>
        <v>#N/A</v>
      </c>
    </row>
    <row r="5" spans="1:11" ht="30" customHeight="1" x14ac:dyDescent="0.3">
      <c r="A5" s="513" t="s">
        <v>984</v>
      </c>
      <c r="B5" s="297" t="s">
        <v>262</v>
      </c>
      <c r="C5" s="221" t="s">
        <v>985</v>
      </c>
      <c r="D5" s="298"/>
      <c r="E5" s="349"/>
      <c r="F5" s="166">
        <v>1</v>
      </c>
      <c r="G5" s="299" t="s">
        <v>101</v>
      </c>
      <c r="H5" s="115">
        <f>COUNTIF(F:G,"=Function Not Available")</f>
        <v>0</v>
      </c>
      <c r="I5" s="116" t="e">
        <f>IF(NOT(ISBLANK($B5)),VLOOKUP($B5,specdata,2,FALSE()),"")</f>
        <v>#N/A</v>
      </c>
      <c r="J5" s="207">
        <f>VLOOKUP(G5,AvailabilityData,2,FALSE())</f>
        <v>0</v>
      </c>
      <c r="K5" s="116" t="e">
        <f>I5*J5</f>
        <v>#N/A</v>
      </c>
    </row>
    <row r="6" spans="1:11" ht="30" customHeight="1" x14ac:dyDescent="0.3">
      <c r="A6" s="513" t="s">
        <v>986</v>
      </c>
      <c r="B6" s="290" t="s">
        <v>262</v>
      </c>
      <c r="C6" s="222" t="s">
        <v>987</v>
      </c>
      <c r="D6" s="500"/>
      <c r="E6" s="344"/>
      <c r="F6" s="173">
        <v>1</v>
      </c>
      <c r="G6" s="299" t="s">
        <v>101</v>
      </c>
      <c r="H6" s="115">
        <f>COUNTIF(G:G,"=Exception")</f>
        <v>0</v>
      </c>
      <c r="I6" s="116" t="e">
        <f>IF(NOT(ISBLANK($B6)),VLOOKUP($B6,specdata,2,FALSE()),"")</f>
        <v>#N/A</v>
      </c>
      <c r="J6" s="207">
        <f>VLOOKUP(G6,AvailabilityData,2,FALSE())</f>
        <v>0</v>
      </c>
      <c r="K6" s="116" t="e">
        <f>I6*J6</f>
        <v>#N/A</v>
      </c>
    </row>
    <row r="7" spans="1:11" ht="30" customHeight="1" x14ac:dyDescent="0.3">
      <c r="A7" s="513" t="s">
        <v>988</v>
      </c>
      <c r="B7" s="297" t="s">
        <v>262</v>
      </c>
      <c r="C7" s="221" t="s">
        <v>989</v>
      </c>
      <c r="D7" s="499"/>
      <c r="E7" s="326"/>
      <c r="F7" s="137">
        <v>1</v>
      </c>
      <c r="G7" s="303" t="s">
        <v>101</v>
      </c>
      <c r="H7" s="300">
        <f>COUNTIFS(B:B,"=Extremely Advantageous",G:G,"=Select from Drop Down List")</f>
        <v>0</v>
      </c>
      <c r="I7" s="116" t="e">
        <f>IF(NOT(ISBLANK($B7)),VLOOKUP($B7,specdata,2,FALSE()),"")</f>
        <v>#N/A</v>
      </c>
      <c r="J7" s="207">
        <f>VLOOKUP(G7,AvailabilityData,2,FALSE())</f>
        <v>0</v>
      </c>
      <c r="K7" s="116" t="e">
        <f>I7*J7</f>
        <v>#N/A</v>
      </c>
    </row>
    <row r="8" spans="1:11" x14ac:dyDescent="0.3">
      <c r="H8" s="300">
        <f>COUNTIFS(B:B,"=Extremely Advantageous",G:G,"=Function Available")</f>
        <v>0</v>
      </c>
    </row>
    <row r="9" spans="1:11" x14ac:dyDescent="0.3">
      <c r="H9" s="300">
        <f>COUNTIFS(B:B,"=Extremely Advantageous",G:G,"=Function Not Available")</f>
        <v>0</v>
      </c>
    </row>
    <row r="10" spans="1:11" x14ac:dyDescent="0.3">
      <c r="H10" s="300">
        <f>COUNTIFS(B:B,"=Extremely Advantageous",G:G,"=Exception")</f>
        <v>0</v>
      </c>
    </row>
    <row r="11" spans="1:11" x14ac:dyDescent="0.3">
      <c r="H11" s="304">
        <f>COUNTIFS(B:B,"=Advantageous",G:G,"=Select from Drop Down List")</f>
        <v>4</v>
      </c>
    </row>
    <row r="12" spans="1:11" x14ac:dyDescent="0.3">
      <c r="H12" s="304">
        <f>COUNTIFS(B:B,"=Advantageous",G:G,"=Function Available")</f>
        <v>0</v>
      </c>
    </row>
    <row r="13" spans="1:11" x14ac:dyDescent="0.3">
      <c r="H13" s="304">
        <f>COUNTIFS(B:B,"=Advantageous",G:G,"=Function Not Available")</f>
        <v>0</v>
      </c>
    </row>
    <row r="14" spans="1:11" x14ac:dyDescent="0.3">
      <c r="H14" s="304">
        <f>COUNTIFS(B:B,"=Advantageous",G:G,"=Exception")</f>
        <v>0</v>
      </c>
    </row>
    <row r="15" spans="1:11" x14ac:dyDescent="0.3">
      <c r="H15" s="257">
        <f>COUNTIFS(B:B,"=Minimal",G:G,"=Select from Drop Down List")</f>
        <v>0</v>
      </c>
    </row>
    <row r="16" spans="1:11" x14ac:dyDescent="0.3">
      <c r="H16" s="257">
        <f>COUNTIFS(B:B,"=Minimal",G:G,"=Function Available")</f>
        <v>0</v>
      </c>
    </row>
    <row r="17" spans="8:8" x14ac:dyDescent="0.3">
      <c r="H17" s="257">
        <f>COUNTIFS(B:B,"=Minimal",G:G,"=Function Not Available")</f>
        <v>0</v>
      </c>
    </row>
    <row r="18" spans="8:8" x14ac:dyDescent="0.3">
      <c r="H18" s="257">
        <f>COUNTIFS(B:B,"=Minimal",G:G,"=Exception")</f>
        <v>0</v>
      </c>
    </row>
  </sheetData>
  <conditionalFormatting sqref="B1:B1048576">
    <cfRule type="cellIs" dxfId="137" priority="3" operator="equal">
      <formula>"Not Needed"</formula>
    </cfRule>
    <cfRule type="cellIs" dxfId="136" priority="4" operator="equal">
      <formula>"Extremely Advantageous"</formula>
    </cfRule>
  </conditionalFormatting>
  <conditionalFormatting sqref="G1:G1048576">
    <cfRule type="cellIs" dxfId="135" priority="2" operator="equal">
      <formula>"Exception"</formula>
    </cfRule>
  </conditionalFormatting>
  <conditionalFormatting sqref="G3:G7">
    <cfRule type="cellIs" dxfId="134" priority="5"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7" xr:uid="{00000000-0002-0000-2400-000000000000}">
      <formula1>SpecType</formula1>
      <formula2>0</formula2>
    </dataValidation>
    <dataValidation type="list" allowBlank="1" showInputMessage="1" showErrorMessage="1" sqref="G3:G7" xr:uid="{00000000-0002-0000-2400-000001000000}">
      <formula1>Availability</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January, 2024 ©&amp;R&amp;"Arial,Bold"&amp;10&amp;P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F0"/>
    <pageSetUpPr fitToPage="1"/>
  </sheetPr>
  <dimension ref="A1:K143"/>
  <sheetViews>
    <sheetView zoomScale="90" zoomScaleNormal="90" zoomScalePageLayoutView="90" workbookViewId="0"/>
  </sheetViews>
  <sheetFormatPr defaultColWidth="28.3984375" defaultRowHeight="15.6" x14ac:dyDescent="0.3"/>
  <cols>
    <col min="1" max="1" width="12.59765625" style="113" customWidth="1"/>
    <col min="2" max="2" width="14.59765625" style="113" customWidth="1"/>
    <col min="3" max="3" width="65.59765625" style="233" customWidth="1"/>
    <col min="4" max="4" width="65.59765625" style="115" customWidth="1"/>
    <col min="5" max="5" width="10.59765625" style="115" customWidth="1"/>
    <col min="6" max="6" width="6.59765625" style="115" customWidth="1"/>
    <col min="7" max="7" width="30.59765625" style="197" customWidth="1"/>
    <col min="8" max="11" width="8.59765625" style="118" customWidth="1"/>
    <col min="12" max="14" width="10.59765625" style="118" customWidth="1"/>
    <col min="15" max="16384" width="28.3984375" style="118"/>
  </cols>
  <sheetData>
    <row r="1" spans="1:11" s="124" customFormat="1" ht="105" customHeight="1" x14ac:dyDescent="0.3">
      <c r="A1" s="119" t="s">
        <v>102</v>
      </c>
      <c r="B1" s="119" t="s">
        <v>103</v>
      </c>
      <c r="C1" s="514"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row>
    <row r="2" spans="1:11" x14ac:dyDescent="0.3">
      <c r="A2" s="508" t="s">
        <v>990</v>
      </c>
      <c r="B2" s="515"/>
      <c r="C2" s="516"/>
      <c r="D2" s="510"/>
      <c r="E2" s="517"/>
      <c r="F2" s="517"/>
      <c r="G2" s="518"/>
      <c r="H2" s="115">
        <f>COUNTA(B3:B25)</f>
        <v>19</v>
      </c>
      <c r="K2" s="115" t="e">
        <f>SUM(K3:K25)</f>
        <v>#N/A</v>
      </c>
    </row>
    <row r="3" spans="1:11" ht="235.2" x14ac:dyDescent="0.3">
      <c r="A3" s="342"/>
      <c r="B3" s="211"/>
      <c r="C3" s="519" t="s">
        <v>991</v>
      </c>
      <c r="D3" s="294"/>
      <c r="E3" s="214"/>
      <c r="F3" s="181"/>
      <c r="G3" s="215"/>
      <c r="H3" s="115">
        <f>COUNTIF(G:G,"=Select from Drop Down List")</f>
        <v>19</v>
      </c>
      <c r="I3" s="116"/>
      <c r="J3" s="207"/>
      <c r="K3" s="116"/>
    </row>
    <row r="4" spans="1:11" ht="42" x14ac:dyDescent="0.3">
      <c r="A4" s="513" t="s">
        <v>992</v>
      </c>
      <c r="B4" s="311" t="s">
        <v>262</v>
      </c>
      <c r="C4" s="520" t="s">
        <v>993</v>
      </c>
      <c r="D4" s="295"/>
      <c r="E4" s="219"/>
      <c r="F4" s="191"/>
      <c r="G4" s="296" t="s">
        <v>101</v>
      </c>
      <c r="H4" s="115">
        <f>COUNTIF(G:G,"=Function Available")</f>
        <v>0</v>
      </c>
      <c r="I4" s="116" t="e">
        <f>IF(NOT(ISBLANK($B4)),VLOOKUP($B4,specdata,2,FALSE()),"")</f>
        <v>#N/A</v>
      </c>
      <c r="J4" s="207">
        <f>VLOOKUP(G4,AvailabilityData,2,FALSE())</f>
        <v>0</v>
      </c>
      <c r="K4" s="116" t="e">
        <f>I4*J4</f>
        <v>#N/A</v>
      </c>
    </row>
    <row r="5" spans="1:11" ht="28.2" x14ac:dyDescent="0.3">
      <c r="A5" s="513" t="s">
        <v>994</v>
      </c>
      <c r="B5" s="290" t="s">
        <v>262</v>
      </c>
      <c r="C5" s="520" t="s">
        <v>995</v>
      </c>
      <c r="D5" s="295"/>
      <c r="E5" s="219"/>
      <c r="F5" s="166"/>
      <c r="G5" s="299" t="s">
        <v>101</v>
      </c>
      <c r="H5" s="115">
        <f>COUNTIF(F:G,"=Function Not Available")</f>
        <v>0</v>
      </c>
      <c r="I5" s="116" t="e">
        <f>IF(NOT(ISBLANK($B5)),VLOOKUP($B5,specdata,2,FALSE()),"")</f>
        <v>#N/A</v>
      </c>
      <c r="J5" s="207">
        <f>VLOOKUP(G5,AvailabilityData,2,FALSE())</f>
        <v>0</v>
      </c>
      <c r="K5" s="116" t="e">
        <f>I5*J5</f>
        <v>#N/A</v>
      </c>
    </row>
    <row r="6" spans="1:11" ht="30" customHeight="1" x14ac:dyDescent="0.3">
      <c r="A6" s="513" t="s">
        <v>996</v>
      </c>
      <c r="B6" s="290" t="s">
        <v>262</v>
      </c>
      <c r="C6" s="520" t="s">
        <v>997</v>
      </c>
      <c r="D6" s="295"/>
      <c r="E6" s="219"/>
      <c r="F6" s="166"/>
      <c r="G6" s="299" t="s">
        <v>101</v>
      </c>
      <c r="H6" s="115">
        <f>COUNTIF(G:G,"=Exception")</f>
        <v>0</v>
      </c>
      <c r="I6" s="116" t="e">
        <f>IF(NOT(ISBLANK($B6)),VLOOKUP($B6,specdata,2,FALSE()),"")</f>
        <v>#N/A</v>
      </c>
      <c r="J6" s="207">
        <f>VLOOKUP(G6,AvailabilityData,2,FALSE())</f>
        <v>0</v>
      </c>
      <c r="K6" s="116" t="e">
        <f>I6*J6</f>
        <v>#N/A</v>
      </c>
    </row>
    <row r="7" spans="1:11" ht="47.25" customHeight="1" x14ac:dyDescent="0.3">
      <c r="A7" s="513" t="s">
        <v>998</v>
      </c>
      <c r="B7" s="290" t="s">
        <v>262</v>
      </c>
      <c r="C7" s="520" t="s">
        <v>999</v>
      </c>
      <c r="D7" s="295"/>
      <c r="E7" s="219"/>
      <c r="F7" s="166"/>
      <c r="G7" s="299" t="s">
        <v>101</v>
      </c>
      <c r="H7" s="300">
        <f>COUNTIFS(B:B,"=Extremely Advantageous",G:G,"=Select from Drop Down List")</f>
        <v>0</v>
      </c>
      <c r="I7" s="116" t="e">
        <f>IF(NOT(ISBLANK($B7)),VLOOKUP($B7,specdata,2,FALSE()),"")</f>
        <v>#N/A</v>
      </c>
      <c r="J7" s="207">
        <f>VLOOKUP(G7,AvailabilityData,2,FALSE())</f>
        <v>0</v>
      </c>
      <c r="K7" s="116" t="e">
        <f>I7*J7</f>
        <v>#N/A</v>
      </c>
    </row>
    <row r="8" spans="1:11" ht="42.75" customHeight="1" x14ac:dyDescent="0.3">
      <c r="A8" s="521" t="s">
        <v>1000</v>
      </c>
      <c r="B8" s="290" t="s">
        <v>262</v>
      </c>
      <c r="C8" s="522" t="s">
        <v>1001</v>
      </c>
      <c r="D8" s="358"/>
      <c r="E8" s="229"/>
      <c r="F8" s="173"/>
      <c r="G8" s="293" t="s">
        <v>101</v>
      </c>
      <c r="H8" s="300">
        <f>COUNTIFS(B:B,"=Extremely Advantageous",G:G,"=Function Available")</f>
        <v>0</v>
      </c>
      <c r="I8" s="116" t="e">
        <f>IF(NOT(ISBLANK($B8)),VLOOKUP($B8,specdata,2,FALSE()),"")</f>
        <v>#N/A</v>
      </c>
      <c r="J8" s="207">
        <f>VLOOKUP(G8,AvailabilityData,2,FALSE())</f>
        <v>0</v>
      </c>
      <c r="K8" s="116" t="e">
        <f>I8*J8</f>
        <v>#N/A</v>
      </c>
    </row>
    <row r="9" spans="1:11" x14ac:dyDescent="0.3">
      <c r="A9" s="342"/>
      <c r="B9" s="211"/>
      <c r="C9" s="519" t="s">
        <v>168</v>
      </c>
      <c r="D9" s="294"/>
      <c r="E9" s="214"/>
      <c r="F9" s="181"/>
      <c r="G9" s="215"/>
      <c r="H9" s="300">
        <f>COUNTIFS(B:B,"=Extremely Advantageous",G:G,"=Function Not Available")</f>
        <v>0</v>
      </c>
      <c r="I9" s="116"/>
      <c r="J9" s="207"/>
      <c r="K9" s="116"/>
    </row>
    <row r="10" spans="1:11" ht="30" customHeight="1" x14ac:dyDescent="0.3">
      <c r="A10" s="513" t="s">
        <v>1002</v>
      </c>
      <c r="B10" s="203" t="s">
        <v>262</v>
      </c>
      <c r="C10" s="365" t="s">
        <v>185</v>
      </c>
      <c r="D10" s="295"/>
      <c r="E10" s="219"/>
      <c r="F10" s="187"/>
      <c r="G10" s="302" t="s">
        <v>101</v>
      </c>
      <c r="H10" s="300">
        <f>COUNTIFS(B:B,"=Extremely Advantageous",G:G,"=Exception")</f>
        <v>0</v>
      </c>
      <c r="I10" s="116"/>
      <c r="J10" s="207"/>
      <c r="K10" s="116"/>
    </row>
    <row r="11" spans="1:11" ht="30" customHeight="1" x14ac:dyDescent="0.3">
      <c r="A11" s="523" t="s">
        <v>1003</v>
      </c>
      <c r="B11" s="297" t="s">
        <v>262</v>
      </c>
      <c r="C11" s="336" t="s">
        <v>1004</v>
      </c>
      <c r="D11" s="298"/>
      <c r="E11" s="205"/>
      <c r="F11" s="137"/>
      <c r="G11" s="303" t="s">
        <v>101</v>
      </c>
      <c r="H11" s="304">
        <f>COUNTIFS(B:B,"=Advantageous",G:G,"=Select from Drop Down List")</f>
        <v>19</v>
      </c>
      <c r="I11" s="116" t="e">
        <f>IF(NOT(ISBLANK($B11)),VLOOKUP($B11,specdata,2,FALSE()),"")</f>
        <v>#N/A</v>
      </c>
      <c r="J11" s="207">
        <f>VLOOKUP(G11,AvailabilityData,2,FALSE())</f>
        <v>0</v>
      </c>
      <c r="K11" s="116" t="e">
        <f>I11*J11</f>
        <v>#N/A</v>
      </c>
    </row>
    <row r="12" spans="1:11" ht="43.5" customHeight="1" x14ac:dyDescent="0.3">
      <c r="A12" s="523" t="s">
        <v>1005</v>
      </c>
      <c r="B12" s="297" t="s">
        <v>262</v>
      </c>
      <c r="C12" s="336" t="s">
        <v>1006</v>
      </c>
      <c r="D12" s="298"/>
      <c r="E12" s="205"/>
      <c r="F12" s="137"/>
      <c r="G12" s="303" t="s">
        <v>101</v>
      </c>
      <c r="H12" s="304">
        <f>COUNTIFS(B:B,"=Advantageous",G:G,"=Function Available")</f>
        <v>0</v>
      </c>
      <c r="I12" s="116" t="e">
        <f>IF(NOT(ISBLANK($B12)),VLOOKUP($B12,specdata,2,FALSE()),"")</f>
        <v>#N/A</v>
      </c>
      <c r="J12" s="207">
        <f>VLOOKUP(G12,AvailabilityData,2,FALSE())</f>
        <v>0</v>
      </c>
      <c r="K12" s="116" t="e">
        <f>I12*J12</f>
        <v>#N/A</v>
      </c>
    </row>
    <row r="13" spans="1:11" ht="30" customHeight="1" x14ac:dyDescent="0.3">
      <c r="A13" s="523" t="s">
        <v>1007</v>
      </c>
      <c r="B13" s="297" t="s">
        <v>262</v>
      </c>
      <c r="C13" s="336" t="s">
        <v>1008</v>
      </c>
      <c r="D13" s="298"/>
      <c r="E13" s="205"/>
      <c r="F13" s="137"/>
      <c r="G13" s="303" t="s">
        <v>101</v>
      </c>
      <c r="H13" s="304">
        <f>COUNTIFS(B:B,"=Advantageous",G:G,"=Function Not Available")</f>
        <v>0</v>
      </c>
      <c r="I13" s="116" t="e">
        <f>IF(NOT(ISBLANK($B13)),VLOOKUP($B13,specdata,2,FALSE()),"")</f>
        <v>#N/A</v>
      </c>
      <c r="J13" s="207">
        <f>VLOOKUP(G13,AvailabilityData,2,FALSE())</f>
        <v>0</v>
      </c>
      <c r="K13" s="116" t="e">
        <f>I13*J13</f>
        <v>#N/A</v>
      </c>
    </row>
    <row r="14" spans="1:11" ht="30" customHeight="1" x14ac:dyDescent="0.3">
      <c r="A14" s="523" t="s">
        <v>1009</v>
      </c>
      <c r="B14" s="297" t="s">
        <v>262</v>
      </c>
      <c r="C14" s="336" t="s">
        <v>255</v>
      </c>
      <c r="D14" s="298"/>
      <c r="E14" s="205"/>
      <c r="F14" s="137"/>
      <c r="G14" s="303" t="s">
        <v>101</v>
      </c>
      <c r="H14" s="304">
        <f>COUNTIFS(B:B,"=Advantageous",G:G,"=Exception")</f>
        <v>0</v>
      </c>
      <c r="I14" s="116" t="e">
        <f>IF(NOT(ISBLANK($B14)),VLOOKUP($B14,specdata,2,FALSE()),"")</f>
        <v>#N/A</v>
      </c>
      <c r="J14" s="207">
        <f>VLOOKUP(G14,AvailabilityData,2,FALSE())</f>
        <v>0</v>
      </c>
      <c r="K14" s="116" t="e">
        <f>I14*J14</f>
        <v>#N/A</v>
      </c>
    </row>
    <row r="15" spans="1:11" ht="30" customHeight="1" x14ac:dyDescent="0.3">
      <c r="A15" s="521" t="s">
        <v>1010</v>
      </c>
      <c r="B15" s="290" t="s">
        <v>262</v>
      </c>
      <c r="C15" s="522" t="s">
        <v>207</v>
      </c>
      <c r="D15" s="292"/>
      <c r="E15" s="224"/>
      <c r="F15" s="173"/>
      <c r="G15" s="293" t="s">
        <v>101</v>
      </c>
      <c r="H15" s="257">
        <f>COUNTIFS(B:B,"=Minimal",G:G,"=Select from Drop Down List")</f>
        <v>0</v>
      </c>
      <c r="I15" s="116" t="e">
        <f>IF(NOT(ISBLANK($B15)),VLOOKUP($B15,specdata,2,FALSE()),"")</f>
        <v>#N/A</v>
      </c>
      <c r="J15" s="207">
        <f>VLOOKUP(G15,AvailabilityData,2,FALSE())</f>
        <v>0</v>
      </c>
      <c r="K15" s="116" t="e">
        <f>I15*J15</f>
        <v>#N/A</v>
      </c>
    </row>
    <row r="16" spans="1:11" ht="30" customHeight="1" x14ac:dyDescent="0.3">
      <c r="A16" s="342"/>
      <c r="B16" s="211"/>
      <c r="C16" s="519" t="s">
        <v>165</v>
      </c>
      <c r="D16" s="294"/>
      <c r="E16" s="214"/>
      <c r="F16" s="181"/>
      <c r="G16" s="215"/>
      <c r="H16" s="257">
        <f>COUNTIFS(B:B,"=Minimal",G:G,"=Function Available")</f>
        <v>0</v>
      </c>
      <c r="I16" s="116"/>
      <c r="J16" s="207"/>
      <c r="K16" s="116"/>
    </row>
    <row r="17" spans="1:11" ht="30" customHeight="1" x14ac:dyDescent="0.3">
      <c r="A17" s="513" t="s">
        <v>1011</v>
      </c>
      <c r="B17" s="311" t="s">
        <v>262</v>
      </c>
      <c r="C17" s="520" t="s">
        <v>208</v>
      </c>
      <c r="D17" s="295"/>
      <c r="E17" s="219"/>
      <c r="F17" s="191"/>
      <c r="G17" s="296" t="s">
        <v>101</v>
      </c>
      <c r="H17" s="257">
        <f>COUNTIFS(B:B,"=Minimal",G:G,"=Function Not Available")</f>
        <v>0</v>
      </c>
      <c r="I17" s="116" t="e">
        <f>IF(NOT(ISBLANK($B17)),VLOOKUP($B17,specdata,2,FALSE()),"")</f>
        <v>#N/A</v>
      </c>
      <c r="J17" s="207">
        <f>VLOOKUP(G17,AvailabilityData,2,FALSE())</f>
        <v>0</v>
      </c>
      <c r="K17" s="116" t="e">
        <f>I17*J17</f>
        <v>#N/A</v>
      </c>
    </row>
    <row r="18" spans="1:11" ht="30" customHeight="1" x14ac:dyDescent="0.3">
      <c r="A18" s="513" t="s">
        <v>1012</v>
      </c>
      <c r="B18" s="290" t="s">
        <v>262</v>
      </c>
      <c r="C18" s="524" t="s">
        <v>524</v>
      </c>
      <c r="D18" s="298"/>
      <c r="E18" s="205"/>
      <c r="F18" s="166"/>
      <c r="G18" s="299" t="s">
        <v>101</v>
      </c>
      <c r="H18" s="257">
        <f>COUNTIFS(B:B,"=Minimal",G:G,"=Exception")</f>
        <v>0</v>
      </c>
      <c r="I18" s="116" t="e">
        <f>IF(NOT(ISBLANK($B18)),VLOOKUP($B18,specdata,2,FALSE()),"")</f>
        <v>#N/A</v>
      </c>
      <c r="J18" s="207">
        <f>VLOOKUP(G18,AvailabilityData,2,FALSE())</f>
        <v>0</v>
      </c>
      <c r="K18" s="116" t="e">
        <f>I18*J18</f>
        <v>#N/A</v>
      </c>
    </row>
    <row r="19" spans="1:11" ht="30" customHeight="1" x14ac:dyDescent="0.3">
      <c r="A19" s="513" t="s">
        <v>1013</v>
      </c>
      <c r="B19" s="290" t="s">
        <v>262</v>
      </c>
      <c r="C19" s="524" t="s">
        <v>210</v>
      </c>
      <c r="D19" s="298"/>
      <c r="E19" s="205"/>
      <c r="F19" s="166"/>
      <c r="G19" s="299" t="s">
        <v>101</v>
      </c>
      <c r="H19" s="525"/>
      <c r="I19" s="116" t="e">
        <f>IF(NOT(ISBLANK($B19)),VLOOKUP($B19,specdata,2,FALSE()),"")</f>
        <v>#N/A</v>
      </c>
      <c r="J19" s="207">
        <f>VLOOKUP(G19,AvailabilityData,2,FALSE())</f>
        <v>0</v>
      </c>
      <c r="K19" s="116" t="e">
        <f>I19*J19</f>
        <v>#N/A</v>
      </c>
    </row>
    <row r="20" spans="1:11" ht="30" customHeight="1" x14ac:dyDescent="0.3">
      <c r="A20" s="521" t="s">
        <v>1014</v>
      </c>
      <c r="B20" s="290" t="s">
        <v>262</v>
      </c>
      <c r="C20" s="522" t="s">
        <v>211</v>
      </c>
      <c r="D20" s="292"/>
      <c r="E20" s="224"/>
      <c r="F20" s="173"/>
      <c r="G20" s="293" t="s">
        <v>101</v>
      </c>
      <c r="H20" s="525"/>
      <c r="I20" s="116" t="e">
        <f>IF(NOT(ISBLANK($B20)),VLOOKUP($B20,specdata,2,FALSE()),"")</f>
        <v>#N/A</v>
      </c>
      <c r="J20" s="207">
        <f>VLOOKUP(G20,AvailabilityData,2,FALSE())</f>
        <v>0</v>
      </c>
      <c r="K20" s="116" t="e">
        <f>I20*J20</f>
        <v>#N/A</v>
      </c>
    </row>
    <row r="21" spans="1:11" ht="30" customHeight="1" x14ac:dyDescent="0.3">
      <c r="A21" s="342"/>
      <c r="B21" s="211"/>
      <c r="C21" s="519" t="s">
        <v>174</v>
      </c>
      <c r="D21" s="294"/>
      <c r="E21" s="214"/>
      <c r="F21" s="181"/>
      <c r="G21" s="215"/>
      <c r="I21" s="116"/>
      <c r="J21" s="207"/>
      <c r="K21" s="116"/>
    </row>
    <row r="22" spans="1:11" ht="30" customHeight="1" x14ac:dyDescent="0.3">
      <c r="A22" s="513" t="s">
        <v>1015</v>
      </c>
      <c r="B22" s="203" t="s">
        <v>262</v>
      </c>
      <c r="C22" s="520" t="s">
        <v>1016</v>
      </c>
      <c r="D22" s="295"/>
      <c r="E22" s="219"/>
      <c r="F22" s="191"/>
      <c r="G22" s="296" t="s">
        <v>101</v>
      </c>
      <c r="H22" s="525"/>
      <c r="I22" s="116" t="e">
        <f>IF(NOT(ISBLANK($B22)),VLOOKUP($B22,specdata,2,FALSE()),"")</f>
        <v>#N/A</v>
      </c>
      <c r="J22" s="207">
        <f>VLOOKUP(G22,AvailabilityData,2,FALSE())</f>
        <v>0</v>
      </c>
      <c r="K22" s="116" t="e">
        <f>I22*J22</f>
        <v>#N/A</v>
      </c>
    </row>
    <row r="23" spans="1:11" ht="30" customHeight="1" x14ac:dyDescent="0.3">
      <c r="A23" s="513" t="s">
        <v>1017</v>
      </c>
      <c r="B23" s="297" t="s">
        <v>262</v>
      </c>
      <c r="C23" s="524" t="s">
        <v>1018</v>
      </c>
      <c r="D23" s="526"/>
      <c r="E23" s="527"/>
      <c r="F23" s="166"/>
      <c r="G23" s="299" t="s">
        <v>101</v>
      </c>
      <c r="H23" s="197"/>
      <c r="I23" s="116" t="e">
        <f>IF(NOT(ISBLANK($B23)),VLOOKUP($B23,specdata,2,FALSE()),"")</f>
        <v>#N/A</v>
      </c>
      <c r="J23" s="207">
        <f>VLOOKUP(G23,AvailabilityData,2,FALSE())</f>
        <v>0</v>
      </c>
      <c r="K23" s="116" t="e">
        <f>I23*J23</f>
        <v>#N/A</v>
      </c>
    </row>
    <row r="24" spans="1:11" ht="45" customHeight="1" x14ac:dyDescent="0.3">
      <c r="A24" s="513" t="s">
        <v>1019</v>
      </c>
      <c r="B24" s="297" t="s">
        <v>262</v>
      </c>
      <c r="C24" s="524" t="s">
        <v>193</v>
      </c>
      <c r="D24" s="298"/>
      <c r="E24" s="205"/>
      <c r="F24" s="166"/>
      <c r="G24" s="299" t="s">
        <v>101</v>
      </c>
      <c r="H24" s="197"/>
      <c r="I24" s="116" t="e">
        <f>IF(NOT(ISBLANK($B24)),VLOOKUP($B24,specdata,2,FALSE()),"")</f>
        <v>#N/A</v>
      </c>
      <c r="J24" s="207">
        <f>VLOOKUP(G24,AvailabilityData,2,FALSE())</f>
        <v>0</v>
      </c>
      <c r="K24" s="116" t="e">
        <f>I24*J24</f>
        <v>#N/A</v>
      </c>
    </row>
    <row r="25" spans="1:11" ht="30" customHeight="1" x14ac:dyDescent="0.3">
      <c r="A25" s="513" t="s">
        <v>1020</v>
      </c>
      <c r="B25" s="297" t="s">
        <v>262</v>
      </c>
      <c r="C25" s="524" t="s">
        <v>1021</v>
      </c>
      <c r="D25" s="298"/>
      <c r="E25" s="205"/>
      <c r="F25" s="166"/>
      <c r="G25" s="299" t="s">
        <v>101</v>
      </c>
      <c r="H25" s="197"/>
      <c r="I25" s="116" t="e">
        <f>IF(NOT(ISBLANK($B25)),VLOOKUP($B25,specdata,2,FALSE()),"")</f>
        <v>#N/A</v>
      </c>
      <c r="J25" s="207">
        <f>VLOOKUP(G25,AvailabilityData,2,FALSE())</f>
        <v>0</v>
      </c>
      <c r="K25" s="116" t="e">
        <f>I25*J25</f>
        <v>#N/A</v>
      </c>
    </row>
    <row r="26" spans="1:11" ht="30" customHeight="1" x14ac:dyDescent="0.3">
      <c r="H26" s="525"/>
    </row>
    <row r="27" spans="1:11" ht="30" customHeight="1" x14ac:dyDescent="0.3"/>
    <row r="28" spans="1:11" ht="30" customHeight="1" x14ac:dyDescent="0.3"/>
    <row r="29" spans="1:11" ht="30" customHeight="1" x14ac:dyDescent="0.3"/>
    <row r="30" spans="1:11" ht="30" customHeight="1" x14ac:dyDescent="0.3"/>
    <row r="31" spans="1:11"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spans="4:4" ht="30" customHeight="1" x14ac:dyDescent="0.3"/>
    <row r="51" spans="4:4" ht="30" customHeight="1" x14ac:dyDescent="0.3">
      <c r="D51" s="262"/>
    </row>
    <row r="52" spans="4:4" ht="30" customHeight="1" x14ac:dyDescent="0.3">
      <c r="D52" s="262"/>
    </row>
    <row r="53" spans="4:4" ht="30" customHeight="1" x14ac:dyDescent="0.3">
      <c r="D53" s="262"/>
    </row>
    <row r="54" spans="4:4" ht="30" customHeight="1" x14ac:dyDescent="0.3"/>
    <row r="55" spans="4:4" ht="30" customHeight="1" x14ac:dyDescent="0.3">
      <c r="D55" s="355"/>
    </row>
    <row r="56" spans="4:4" ht="30" customHeight="1" x14ac:dyDescent="0.3">
      <c r="D56" s="355"/>
    </row>
    <row r="57" spans="4:4" ht="30" customHeight="1" x14ac:dyDescent="0.3">
      <c r="D57" s="355"/>
    </row>
    <row r="58" spans="4:4" ht="30" customHeight="1" x14ac:dyDescent="0.3">
      <c r="D58" s="355"/>
    </row>
    <row r="59" spans="4:4" ht="30" customHeight="1" x14ac:dyDescent="0.3">
      <c r="D59" s="355"/>
    </row>
    <row r="60" spans="4:4" ht="30" customHeight="1" x14ac:dyDescent="0.3">
      <c r="D60" s="355"/>
    </row>
    <row r="61" spans="4:4" ht="30" customHeight="1" x14ac:dyDescent="0.3">
      <c r="D61" s="355"/>
    </row>
    <row r="62" spans="4:4" ht="30" customHeight="1" x14ac:dyDescent="0.3">
      <c r="D62" s="355"/>
    </row>
    <row r="63" spans="4:4" ht="30" customHeight="1" x14ac:dyDescent="0.3">
      <c r="D63" s="262"/>
    </row>
    <row r="64" spans="4:4" ht="30" customHeight="1" x14ac:dyDescent="0.3">
      <c r="D64" s="262"/>
    </row>
    <row r="65" spans="4:4" ht="30" customHeight="1" x14ac:dyDescent="0.3">
      <c r="D65" s="262"/>
    </row>
    <row r="66" spans="4:4" ht="30" customHeight="1" x14ac:dyDescent="0.3">
      <c r="D66" s="262"/>
    </row>
    <row r="67" spans="4:4" ht="30" customHeight="1" x14ac:dyDescent="0.3">
      <c r="D67" s="355"/>
    </row>
    <row r="68" spans="4:4" ht="30" customHeight="1" x14ac:dyDescent="0.3">
      <c r="D68" s="355"/>
    </row>
    <row r="69" spans="4:4" ht="30" customHeight="1" x14ac:dyDescent="0.3">
      <c r="D69" s="355"/>
    </row>
    <row r="70" spans="4:4" ht="30" customHeight="1" x14ac:dyDescent="0.3">
      <c r="D70" s="355"/>
    </row>
    <row r="71" spans="4:4" ht="30" customHeight="1" x14ac:dyDescent="0.3">
      <c r="D71" s="355"/>
    </row>
    <row r="72" spans="4:4" ht="30" customHeight="1" x14ac:dyDescent="0.3">
      <c r="D72" s="355"/>
    </row>
    <row r="73" spans="4:4" ht="30" customHeight="1" x14ac:dyDescent="0.3">
      <c r="D73" s="355"/>
    </row>
    <row r="74" spans="4:4" ht="30" customHeight="1" x14ac:dyDescent="0.3">
      <c r="D74" s="355"/>
    </row>
    <row r="75" spans="4:4" ht="30" customHeight="1" x14ac:dyDescent="0.3"/>
    <row r="76" spans="4:4" ht="30" customHeight="1" x14ac:dyDescent="0.3"/>
    <row r="77" spans="4:4" ht="30" customHeight="1" x14ac:dyDescent="0.3"/>
    <row r="78" spans="4:4" ht="30" customHeight="1" x14ac:dyDescent="0.3"/>
    <row r="79" spans="4:4" ht="30" customHeight="1" x14ac:dyDescent="0.3"/>
    <row r="80" spans="4:4"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45"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59.25" customHeight="1" x14ac:dyDescent="0.3"/>
  </sheetData>
  <conditionalFormatting sqref="B1:B1048576">
    <cfRule type="cellIs" dxfId="133" priority="5" operator="equal">
      <formula>"Not Needed"</formula>
    </cfRule>
    <cfRule type="cellIs" dxfId="132" priority="6" operator="equal">
      <formula>"Extremely Advantageous"</formula>
    </cfRule>
    <cfRule type="cellIs" dxfId="131" priority="7" operator="equal">
      <formula>"Highly Advantageous"</formula>
    </cfRule>
  </conditionalFormatting>
  <conditionalFormatting sqref="B3:B25">
    <cfRule type="cellIs" dxfId="130" priority="3" operator="equal">
      <formula>"Mandatory"</formula>
    </cfRule>
  </conditionalFormatting>
  <conditionalFormatting sqref="G1:G1048576">
    <cfRule type="cellIs" dxfId="129" priority="2" operator="equal">
      <formula>"Exception"</formula>
    </cfRule>
  </conditionalFormatting>
  <conditionalFormatting sqref="G3:G25">
    <cfRule type="cellIs" dxfId="128" priority="4"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25" xr:uid="{00000000-0002-0000-2500-000000000000}">
      <formula1>SpecType</formula1>
      <formula2>0</formula2>
    </dataValidation>
    <dataValidation type="list" allowBlank="1" showInputMessage="1" showErrorMessage="1" sqref="G3:G25" xr:uid="{00000000-0002-0000-2500-000001000000}">
      <formula1>Availability</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January, 2024 ©&amp;R&amp;"Arial,Bold"&amp;10&amp;P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50"/>
    <pageSetUpPr fitToPage="1"/>
  </sheetPr>
  <dimension ref="A1:Q190"/>
  <sheetViews>
    <sheetView zoomScaleNormal="100" zoomScalePageLayoutView="70" workbookViewId="0">
      <selection activeCell="D3" sqref="D3"/>
    </sheetView>
  </sheetViews>
  <sheetFormatPr defaultColWidth="28.3984375" defaultRowHeight="15.6" x14ac:dyDescent="0.3"/>
  <cols>
    <col min="1" max="1" width="10.59765625" style="113" customWidth="1"/>
    <col min="2" max="2" width="14.59765625" style="113" customWidth="1"/>
    <col min="3" max="3" width="65.59765625" style="114" customWidth="1"/>
    <col min="4" max="4" width="65.59765625" style="115" customWidth="1"/>
    <col min="5" max="5" width="10.59765625" style="115" hidden="1" customWidth="1"/>
    <col min="6" max="6" width="6.59765625" style="115" hidden="1" customWidth="1"/>
    <col min="7" max="7" width="30.59765625" style="115" customWidth="1"/>
    <col min="8" max="11" width="8.59765625" style="118" hidden="1" customWidth="1"/>
    <col min="12" max="12" width="0" style="118" hidden="1" customWidth="1"/>
    <col min="13" max="13" width="17.59765625" style="118" customWidth="1"/>
    <col min="14" max="14" width="8.59765625" style="118" customWidth="1"/>
    <col min="15" max="16384" width="28.3984375" style="118"/>
  </cols>
  <sheetData>
    <row r="1" spans="1:17" s="124" customFormat="1" ht="105" customHeight="1" thickBot="1" x14ac:dyDescent="0.3">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c r="L1" s="123" t="s">
        <v>104</v>
      </c>
      <c r="M1" s="838"/>
    </row>
    <row r="2" spans="1:17" x14ac:dyDescent="0.3">
      <c r="A2" s="125" t="s">
        <v>1022</v>
      </c>
      <c r="B2" s="445"/>
      <c r="C2" s="446"/>
      <c r="D2" s="447"/>
      <c r="E2" s="447"/>
      <c r="F2" s="447"/>
      <c r="G2" s="844"/>
      <c r="H2" s="355">
        <f>COUNTA(B3:B102)</f>
        <v>88</v>
      </c>
      <c r="K2" s="116">
        <f>SUM(K3:K101)</f>
        <v>0</v>
      </c>
    </row>
    <row r="3" spans="1:17" ht="30" customHeight="1" x14ac:dyDescent="0.3">
      <c r="A3" s="132" t="str">
        <f>IF(L3=1,"Paging-"&amp;TEXT(COUNTIF($L$3:L3, "1"), "0"), "")</f>
        <v>Paging-1</v>
      </c>
      <c r="B3" s="133" t="s">
        <v>43</v>
      </c>
      <c r="C3" s="374" t="s">
        <v>1023</v>
      </c>
      <c r="D3" s="451"/>
      <c r="E3" s="186"/>
      <c r="F3" s="166"/>
      <c r="G3" s="137" t="s">
        <v>101</v>
      </c>
      <c r="H3" s="131">
        <f>COUNTIF(G:G,"=Select from Drop Down List")</f>
        <v>88</v>
      </c>
      <c r="I3" s="131">
        <f>IF(NOT(ISBLANK($B3)),VLOOKUP($B3,specdata,2,FALSE()),"")</f>
        <v>1</v>
      </c>
      <c r="J3" s="131">
        <f>VLOOKUP(G3,AvailabilityData,2,FALSE())</f>
        <v>0</v>
      </c>
      <c r="K3" s="131">
        <f>I3*J3</f>
        <v>0</v>
      </c>
      <c r="L3" s="118">
        <v>1</v>
      </c>
      <c r="O3" s="857"/>
      <c r="P3" s="857"/>
      <c r="Q3" s="857"/>
    </row>
    <row r="4" spans="1:17" ht="30" customHeight="1" x14ac:dyDescent="0.3">
      <c r="A4" s="132" t="str">
        <f>IF(L4=1,"Paging-"&amp;TEXT(COUNTIF($L$3:L4, "1"), "0"), "")</f>
        <v>Paging-2</v>
      </c>
      <c r="B4" s="133" t="s">
        <v>43</v>
      </c>
      <c r="C4" s="134" t="s">
        <v>1024</v>
      </c>
      <c r="D4" s="451"/>
      <c r="E4" s="186"/>
      <c r="F4" s="166"/>
      <c r="G4" s="137" t="s">
        <v>101</v>
      </c>
      <c r="H4" s="131">
        <f>COUNTIF(G:G,"=Function Available")</f>
        <v>0</v>
      </c>
      <c r="I4" s="131">
        <f>IF(NOT(ISBLANK($B4)),VLOOKUP($B4,specdata,2,FALSE()),"")</f>
        <v>1</v>
      </c>
      <c r="J4" s="131">
        <f>VLOOKUP(G4,AvailabilityData,2,FALSE())</f>
        <v>0</v>
      </c>
      <c r="K4" s="131">
        <f>I4*J4</f>
        <v>0</v>
      </c>
      <c r="L4" s="118">
        <v>1</v>
      </c>
      <c r="O4" s="857"/>
      <c r="P4" s="857"/>
      <c r="Q4" s="857"/>
    </row>
    <row r="5" spans="1:17" ht="30" customHeight="1" x14ac:dyDescent="0.3">
      <c r="A5" s="132" t="str">
        <f>IF(L5=1,"Paging-"&amp;TEXT(COUNTIF($L$3:L5, "1"), "0"), "")</f>
        <v>Paging-3</v>
      </c>
      <c r="B5" s="133" t="s">
        <v>43</v>
      </c>
      <c r="C5" s="134" t="s">
        <v>1025</v>
      </c>
      <c r="D5" s="138"/>
      <c r="E5" s="168"/>
      <c r="F5" s="166"/>
      <c r="G5" s="137" t="s">
        <v>101</v>
      </c>
      <c r="H5" s="131">
        <f>COUNTIF(F:G,"=Function Not Available")</f>
        <v>0</v>
      </c>
      <c r="I5" s="131">
        <f>IF(NOT(ISBLANK($B5)),VLOOKUP($B5,specdata,2,FALSE()),"")</f>
        <v>1</v>
      </c>
      <c r="J5" s="131">
        <f>VLOOKUP(G5,AvailabilityData,2,FALSE())</f>
        <v>0</v>
      </c>
      <c r="K5" s="131">
        <f>I5*J5</f>
        <v>0</v>
      </c>
      <c r="L5" s="118">
        <v>1</v>
      </c>
      <c r="O5" s="857"/>
      <c r="P5" s="857"/>
      <c r="Q5" s="857"/>
    </row>
    <row r="6" spans="1:17" ht="30" customHeight="1" x14ac:dyDescent="0.3">
      <c r="A6" s="132" t="str">
        <f>IF(L6=1,"Paging-"&amp;TEXT(COUNTIF($L$3:L6, "1"), "0"), "")</f>
        <v>Paging-4</v>
      </c>
      <c r="B6" s="133" t="s">
        <v>43</v>
      </c>
      <c r="C6" s="134" t="s">
        <v>1026</v>
      </c>
      <c r="D6" s="138"/>
      <c r="E6" s="168"/>
      <c r="F6" s="137"/>
      <c r="G6" s="240" t="s">
        <v>101</v>
      </c>
      <c r="H6" s="131">
        <f>COUNTIF(G:G,"=Exception")</f>
        <v>0</v>
      </c>
      <c r="I6" s="131">
        <f>IF(NOT(ISBLANK($B6)),VLOOKUP($B6,specdata,2,FALSE()),"")</f>
        <v>1</v>
      </c>
      <c r="J6" s="131">
        <f>VLOOKUP(G6,AvailabilityData,2,FALSE())</f>
        <v>0</v>
      </c>
      <c r="K6" s="131">
        <f>I6*J6</f>
        <v>0</v>
      </c>
      <c r="L6" s="118">
        <v>1</v>
      </c>
      <c r="O6" s="857"/>
      <c r="P6" s="857"/>
      <c r="Q6" s="857"/>
    </row>
    <row r="7" spans="1:17" ht="30" customHeight="1" x14ac:dyDescent="0.3">
      <c r="A7" s="132" t="str">
        <f>IF(L7=1,"Paging-"&amp;TEXT(COUNTIF($L$3:L7, "1"), "0"), "")</f>
        <v>Paging-5</v>
      </c>
      <c r="B7" s="133" t="s">
        <v>43</v>
      </c>
      <c r="C7" s="134" t="s">
        <v>1027</v>
      </c>
      <c r="D7" s="138"/>
      <c r="E7" s="168"/>
      <c r="F7" s="137"/>
      <c r="G7" s="137" t="s">
        <v>101</v>
      </c>
      <c r="H7" s="140">
        <f>COUNTIFS(B:B,"=Critical",G:G,"=Select from Drop Down List")</f>
        <v>0</v>
      </c>
      <c r="I7" s="131">
        <f>IF(NOT(ISBLANK($B7)),VLOOKUP($B7,specdata,2,FALSE()),"")</f>
        <v>1</v>
      </c>
      <c r="J7" s="131">
        <f>VLOOKUP(G7,AvailabilityData,2,FALSE())</f>
        <v>0</v>
      </c>
      <c r="K7" s="131">
        <f>I7*J7</f>
        <v>0</v>
      </c>
      <c r="L7" s="118">
        <v>1</v>
      </c>
    </row>
    <row r="8" spans="1:17" ht="62.4" x14ac:dyDescent="0.3">
      <c r="A8" s="448"/>
      <c r="B8" s="126"/>
      <c r="C8" s="286" t="s">
        <v>1028</v>
      </c>
      <c r="D8" s="194"/>
      <c r="E8" s="180"/>
      <c r="F8" s="181"/>
      <c r="G8" s="849"/>
      <c r="H8" s="140">
        <f>COUNTIFS(B:B,"=Critical",G:G,"=Function Available")</f>
        <v>0</v>
      </c>
      <c r="I8" s="131"/>
      <c r="J8" s="131"/>
      <c r="K8" s="131"/>
    </row>
    <row r="9" spans="1:17" ht="30" customHeight="1" x14ac:dyDescent="0.3">
      <c r="A9" s="132" t="str">
        <f>IF(L9=1,"Paging-"&amp;TEXT(COUNTIF($L$3:L9, "1"), "0"), "")</f>
        <v>Paging-6</v>
      </c>
      <c r="B9" s="183" t="s">
        <v>43</v>
      </c>
      <c r="C9" s="269" t="s">
        <v>1029</v>
      </c>
      <c r="D9" s="185"/>
      <c r="E9" s="186"/>
      <c r="F9" s="187"/>
      <c r="G9" s="249" t="s">
        <v>101</v>
      </c>
      <c r="H9" s="140">
        <f>COUNTIFS(B:B,"=Critical",G:G,"=Function Not Available")</f>
        <v>0</v>
      </c>
      <c r="I9" s="131">
        <f t="shared" ref="I9:I17" si="0">IF(NOT(ISBLANK($B9)),VLOOKUP($B9,specdata,2,FALSE()),"")</f>
        <v>1</v>
      </c>
      <c r="J9" s="131">
        <f t="shared" ref="J9:J17" si="1">VLOOKUP(G9,AvailabilityData,2,FALSE())</f>
        <v>0</v>
      </c>
      <c r="K9" s="131">
        <f t="shared" ref="K9:K17" si="2">I9*J9</f>
        <v>0</v>
      </c>
      <c r="L9" s="118">
        <v>1</v>
      </c>
    </row>
    <row r="10" spans="1:17" ht="30" customHeight="1" x14ac:dyDescent="0.3">
      <c r="A10" s="132" t="str">
        <f>IF(L10=1,"Paging-"&amp;TEXT(COUNTIF($L$3:L10, "1"), "0"), "")</f>
        <v>Paging-7</v>
      </c>
      <c r="B10" s="133" t="s">
        <v>43</v>
      </c>
      <c r="C10" s="269" t="s">
        <v>1030</v>
      </c>
      <c r="D10" s="270"/>
      <c r="E10" s="186"/>
      <c r="F10" s="166"/>
      <c r="G10" s="137" t="s">
        <v>101</v>
      </c>
      <c r="H10" s="140">
        <f>COUNTIFS(B:B,"=Critical",G:G,"=Exception")</f>
        <v>0</v>
      </c>
      <c r="I10" s="131">
        <f t="shared" si="0"/>
        <v>1</v>
      </c>
      <c r="J10" s="131">
        <f t="shared" si="1"/>
        <v>0</v>
      </c>
      <c r="K10" s="131">
        <f t="shared" si="2"/>
        <v>0</v>
      </c>
      <c r="L10" s="118">
        <v>1</v>
      </c>
    </row>
    <row r="11" spans="1:17" ht="30" customHeight="1" x14ac:dyDescent="0.3">
      <c r="A11" s="132" t="str">
        <f>IF(L11=1,"Paging-"&amp;TEXT(COUNTIF($L$3:L11, "1"), "0"), "")</f>
        <v>Paging-8</v>
      </c>
      <c r="B11" s="133" t="s">
        <v>43</v>
      </c>
      <c r="C11" s="134" t="s">
        <v>1031</v>
      </c>
      <c r="D11" s="270"/>
      <c r="E11" s="186"/>
      <c r="F11" s="166"/>
      <c r="G11" s="137" t="s">
        <v>101</v>
      </c>
      <c r="H11" s="146">
        <f>COUNTIFS(B:B,"=Important",G:G,"=Select from Drop Down List")</f>
        <v>88</v>
      </c>
      <c r="I11" s="131">
        <f t="shared" si="0"/>
        <v>1</v>
      </c>
      <c r="J11" s="131">
        <f t="shared" si="1"/>
        <v>0</v>
      </c>
      <c r="K11" s="131">
        <f t="shared" si="2"/>
        <v>0</v>
      </c>
      <c r="L11" s="118">
        <v>1</v>
      </c>
    </row>
    <row r="12" spans="1:17" ht="30" customHeight="1" x14ac:dyDescent="0.3">
      <c r="A12" s="132" t="str">
        <f>IF(L12=1,"Paging-"&amp;TEXT(COUNTIF($L$3:L12, "1"), "0"), "")</f>
        <v>Paging-9</v>
      </c>
      <c r="B12" s="133" t="s">
        <v>43</v>
      </c>
      <c r="C12" s="134" t="s">
        <v>1032</v>
      </c>
      <c r="D12" s="270"/>
      <c r="E12" s="186"/>
      <c r="F12" s="166"/>
      <c r="G12" s="137" t="s">
        <v>101</v>
      </c>
      <c r="H12" s="146">
        <f>COUNTIFS(B:B,"=Important",G:G,"=Function Available")</f>
        <v>0</v>
      </c>
      <c r="I12" s="131">
        <f t="shared" si="0"/>
        <v>1</v>
      </c>
      <c r="J12" s="131">
        <f t="shared" si="1"/>
        <v>0</v>
      </c>
      <c r="K12" s="131">
        <f t="shared" si="2"/>
        <v>0</v>
      </c>
      <c r="L12" s="118">
        <v>1</v>
      </c>
    </row>
    <row r="13" spans="1:17" ht="30" customHeight="1" x14ac:dyDescent="0.3">
      <c r="A13" s="132" t="str">
        <f>IF(L13=1,"Paging-"&amp;TEXT(COUNTIF($L$3:L13, "1"), "0"), "")</f>
        <v>Paging-10</v>
      </c>
      <c r="B13" s="133" t="s">
        <v>43</v>
      </c>
      <c r="C13" s="134" t="s">
        <v>1033</v>
      </c>
      <c r="D13" s="270"/>
      <c r="E13" s="186"/>
      <c r="F13" s="166"/>
      <c r="G13" s="137" t="s">
        <v>101</v>
      </c>
      <c r="H13" s="146">
        <f>COUNTIFS(B:B,"=Important",G:G,"=Function Not Available")</f>
        <v>0</v>
      </c>
      <c r="I13" s="131">
        <f t="shared" si="0"/>
        <v>1</v>
      </c>
      <c r="J13" s="131">
        <f t="shared" si="1"/>
        <v>0</v>
      </c>
      <c r="K13" s="131">
        <f t="shared" si="2"/>
        <v>0</v>
      </c>
      <c r="L13" s="118">
        <v>1</v>
      </c>
    </row>
    <row r="14" spans="1:17" ht="30" customHeight="1" x14ac:dyDescent="0.3">
      <c r="A14" s="132" t="str">
        <f>IF(L14=1,"Paging-"&amp;TEXT(COUNTIF($L$3:L14, "1"), "0"), "")</f>
        <v>Paging-11</v>
      </c>
      <c r="B14" s="133" t="s">
        <v>43</v>
      </c>
      <c r="C14" s="134" t="s">
        <v>1034</v>
      </c>
      <c r="D14" s="270"/>
      <c r="E14" s="186"/>
      <c r="F14" s="166"/>
      <c r="G14" s="137" t="s">
        <v>101</v>
      </c>
      <c r="H14" s="146">
        <f>COUNTIFS(B:B,"=Important",G:G,"=Exception")</f>
        <v>0</v>
      </c>
      <c r="I14" s="131">
        <f t="shared" si="0"/>
        <v>1</v>
      </c>
      <c r="J14" s="131">
        <f t="shared" si="1"/>
        <v>0</v>
      </c>
      <c r="K14" s="131">
        <f t="shared" si="2"/>
        <v>0</v>
      </c>
      <c r="L14" s="118">
        <v>1</v>
      </c>
    </row>
    <row r="15" spans="1:17" ht="30" customHeight="1" x14ac:dyDescent="0.3">
      <c r="A15" s="132" t="str">
        <f>IF(L15=1,"Paging-"&amp;TEXT(COUNTIF($L$3:L15, "1"), "0"), "")</f>
        <v>Paging-12</v>
      </c>
      <c r="B15" s="133" t="s">
        <v>43</v>
      </c>
      <c r="C15" s="134" t="s">
        <v>1035</v>
      </c>
      <c r="D15" s="270"/>
      <c r="E15" s="186"/>
      <c r="F15" s="166"/>
      <c r="G15" s="137" t="s">
        <v>101</v>
      </c>
      <c r="H15" s="147">
        <f>COUNTIFS(B:B,"=Informational",G:G,"=Select from Drop Down List")</f>
        <v>0</v>
      </c>
      <c r="I15" s="131">
        <f t="shared" si="0"/>
        <v>1</v>
      </c>
      <c r="J15" s="131">
        <f t="shared" si="1"/>
        <v>0</v>
      </c>
      <c r="K15" s="131">
        <f t="shared" si="2"/>
        <v>0</v>
      </c>
      <c r="L15" s="118">
        <v>1</v>
      </c>
    </row>
    <row r="16" spans="1:17" ht="30" customHeight="1" x14ac:dyDescent="0.3">
      <c r="A16" s="132" t="str">
        <f>IF(L16=1,"Paging-"&amp;TEXT(COUNTIF($L$3:L16, "1"), "0"), "")</f>
        <v>Paging-13</v>
      </c>
      <c r="B16" s="133" t="s">
        <v>43</v>
      </c>
      <c r="C16" s="134" t="s">
        <v>1036</v>
      </c>
      <c r="D16" s="270"/>
      <c r="E16" s="186"/>
      <c r="F16" s="166"/>
      <c r="G16" s="137" t="s">
        <v>101</v>
      </c>
      <c r="H16" s="147">
        <f>COUNTIFS(B:B,"=Informational",G:G,"=Function Available")</f>
        <v>0</v>
      </c>
      <c r="I16" s="131">
        <f t="shared" si="0"/>
        <v>1</v>
      </c>
      <c r="J16" s="131">
        <f t="shared" si="1"/>
        <v>0</v>
      </c>
      <c r="K16" s="131">
        <f t="shared" si="2"/>
        <v>0</v>
      </c>
      <c r="L16" s="118">
        <v>1</v>
      </c>
    </row>
    <row r="17" spans="1:12" ht="30" customHeight="1" x14ac:dyDescent="0.3">
      <c r="A17" s="132" t="str">
        <f>IF(L17=1,"Paging-"&amp;TEXT(COUNTIF($L$3:L17, "1"), "0"), "")</f>
        <v>Paging-14</v>
      </c>
      <c r="B17" s="169" t="s">
        <v>43</v>
      </c>
      <c r="C17" s="271" t="s">
        <v>1037</v>
      </c>
      <c r="D17" s="171"/>
      <c r="E17" s="172"/>
      <c r="F17" s="173"/>
      <c r="G17" s="137" t="s">
        <v>101</v>
      </c>
      <c r="H17" s="147">
        <f>COUNTIFS(B:B,"=Informational",G:G,"=Function Not Available")</f>
        <v>0</v>
      </c>
      <c r="I17" s="131">
        <f t="shared" si="0"/>
        <v>1</v>
      </c>
      <c r="J17" s="131">
        <f t="shared" si="1"/>
        <v>0</v>
      </c>
      <c r="K17" s="131">
        <f t="shared" si="2"/>
        <v>0</v>
      </c>
      <c r="L17" s="118">
        <v>1</v>
      </c>
    </row>
    <row r="18" spans="1:12" x14ac:dyDescent="0.3">
      <c r="A18" s="448"/>
      <c r="B18" s="126"/>
      <c r="C18" s="286" t="s">
        <v>1038</v>
      </c>
      <c r="D18" s="179"/>
      <c r="E18" s="180"/>
      <c r="F18" s="181"/>
      <c r="G18" s="849"/>
      <c r="H18" s="147">
        <f>COUNTIFS(B:B,"=Informational",G:G,"=Exception")</f>
        <v>0</v>
      </c>
      <c r="I18" s="131"/>
      <c r="J18" s="131"/>
      <c r="K18" s="131"/>
    </row>
    <row r="19" spans="1:12" ht="30" customHeight="1" x14ac:dyDescent="0.3">
      <c r="A19" s="132" t="str">
        <f>IF(L19=1,"Paging-"&amp;TEXT(COUNTIF($L$3:L19, "1"), "0"), "")</f>
        <v>Paging-15</v>
      </c>
      <c r="B19" s="183" t="s">
        <v>43</v>
      </c>
      <c r="C19" s="278" t="s">
        <v>1039</v>
      </c>
      <c r="D19" s="270"/>
      <c r="E19" s="186"/>
      <c r="F19" s="191"/>
      <c r="G19" s="187" t="s">
        <v>101</v>
      </c>
      <c r="H19" s="115"/>
      <c r="I19" s="131">
        <f>IF(NOT(ISBLANK($B19)),VLOOKUP($B19,specdata,2,FALSE()),"")</f>
        <v>1</v>
      </c>
      <c r="J19" s="131">
        <f>VLOOKUP(G19,AvailabilityData,2,FALSE())</f>
        <v>0</v>
      </c>
      <c r="K19" s="131">
        <f>I19*J19</f>
        <v>0</v>
      </c>
      <c r="L19" s="118">
        <v>1</v>
      </c>
    </row>
    <row r="20" spans="1:12" ht="30" customHeight="1" x14ac:dyDescent="0.3">
      <c r="A20" s="132" t="str">
        <f>IF(L20=1,"Paging-"&amp;TEXT(COUNTIF($L$3:L20, "1"), "0"), "")</f>
        <v>Paging-16</v>
      </c>
      <c r="B20" s="133" t="s">
        <v>43</v>
      </c>
      <c r="C20" s="154" t="s">
        <v>1040</v>
      </c>
      <c r="D20" s="270"/>
      <c r="E20" s="186"/>
      <c r="F20" s="166"/>
      <c r="G20" s="137" t="s">
        <v>101</v>
      </c>
      <c r="H20" s="115"/>
      <c r="I20" s="131">
        <f>IF(NOT(ISBLANK($B20)),VLOOKUP($B20,specdata,2,FALSE()),"")</f>
        <v>1</v>
      </c>
      <c r="J20" s="131">
        <f>VLOOKUP(G20,AvailabilityData,2,FALSE())</f>
        <v>0</v>
      </c>
      <c r="K20" s="131">
        <f>I20*J20</f>
        <v>0</v>
      </c>
      <c r="L20" s="118">
        <v>1</v>
      </c>
    </row>
    <row r="21" spans="1:12" ht="30" customHeight="1" x14ac:dyDescent="0.3">
      <c r="A21" s="132" t="str">
        <f>IF(L21=1,"Paging-"&amp;TEXT(COUNTIF($L$3:L21, "1"), "0"), "")</f>
        <v>Paging-17</v>
      </c>
      <c r="B21" s="133" t="s">
        <v>43</v>
      </c>
      <c r="C21" s="154" t="s">
        <v>1041</v>
      </c>
      <c r="D21" s="270"/>
      <c r="E21" s="186"/>
      <c r="F21" s="166"/>
      <c r="G21" s="137" t="s">
        <v>101</v>
      </c>
      <c r="H21" s="115"/>
      <c r="I21" s="131">
        <f>IF(NOT(ISBLANK($B21)),VLOOKUP($B21,specdata,2,FALSE()),"")</f>
        <v>1</v>
      </c>
      <c r="J21" s="131">
        <f>VLOOKUP(G21,AvailabilityData,2,FALSE())</f>
        <v>0</v>
      </c>
      <c r="K21" s="131">
        <f>I21*J21</f>
        <v>0</v>
      </c>
      <c r="L21" s="118">
        <v>1</v>
      </c>
    </row>
    <row r="22" spans="1:12" ht="30" customHeight="1" x14ac:dyDescent="0.3">
      <c r="A22" s="132" t="str">
        <f>IF(L22=1,"Paging-"&amp;TEXT(COUNTIF($L$3:L22, "1"), "0"), "")</f>
        <v>Paging-18</v>
      </c>
      <c r="B22" s="169" t="s">
        <v>43</v>
      </c>
      <c r="C22" s="273" t="s">
        <v>1042</v>
      </c>
      <c r="D22" s="171"/>
      <c r="E22" s="172"/>
      <c r="F22" s="173"/>
      <c r="G22" s="137" t="s">
        <v>101</v>
      </c>
      <c r="H22" s="115"/>
      <c r="I22" s="131">
        <f>IF(NOT(ISBLANK($B22)),VLOOKUP($B22,specdata,2,FALSE()),"")</f>
        <v>1</v>
      </c>
      <c r="J22" s="131">
        <f>VLOOKUP(G22,AvailabilityData,2,FALSE())</f>
        <v>0</v>
      </c>
      <c r="K22" s="131">
        <f>I22*J22</f>
        <v>0</v>
      </c>
      <c r="L22" s="118">
        <v>1</v>
      </c>
    </row>
    <row r="23" spans="1:12" x14ac:dyDescent="0.3">
      <c r="A23" s="448"/>
      <c r="B23" s="126"/>
      <c r="C23" s="286" t="s">
        <v>1043</v>
      </c>
      <c r="D23" s="179"/>
      <c r="E23" s="180"/>
      <c r="F23" s="181"/>
      <c r="G23" s="849"/>
      <c r="H23" s="115"/>
      <c r="I23" s="131"/>
      <c r="J23" s="131"/>
      <c r="K23" s="131"/>
    </row>
    <row r="24" spans="1:12" ht="30" customHeight="1" x14ac:dyDescent="0.3">
      <c r="A24" s="132" t="str">
        <f>IF(L24=1,"Paging-"&amp;TEXT(COUNTIF($L$3:L24, "1"), "0"), "")</f>
        <v>Paging-19</v>
      </c>
      <c r="B24" s="183" t="s">
        <v>43</v>
      </c>
      <c r="C24" s="278" t="s">
        <v>1044</v>
      </c>
      <c r="D24" s="270"/>
      <c r="E24" s="186"/>
      <c r="F24" s="191"/>
      <c r="G24" s="187" t="s">
        <v>101</v>
      </c>
      <c r="H24" s="525"/>
      <c r="I24" s="131">
        <f>IF(NOT(ISBLANK($B24)),VLOOKUP($B24,specdata,2,FALSE()),"")</f>
        <v>1</v>
      </c>
      <c r="J24" s="131">
        <f>VLOOKUP(G24,AvailabilityData,2,FALSE())</f>
        <v>0</v>
      </c>
      <c r="K24" s="131">
        <f>I24*J24</f>
        <v>0</v>
      </c>
      <c r="L24" s="118">
        <v>1</v>
      </c>
    </row>
    <row r="25" spans="1:12" ht="30" customHeight="1" x14ac:dyDescent="0.3">
      <c r="A25" s="132" t="str">
        <f>IF(L25=1,"Paging-"&amp;TEXT(COUNTIF($L$3:L25, "1"), "0"), "")</f>
        <v>Paging-20</v>
      </c>
      <c r="B25" s="133" t="s">
        <v>43</v>
      </c>
      <c r="C25" s="154" t="s">
        <v>1045</v>
      </c>
      <c r="D25" s="270"/>
      <c r="E25" s="186"/>
      <c r="F25" s="166"/>
      <c r="G25" s="137" t="s">
        <v>101</v>
      </c>
      <c r="H25" s="525"/>
      <c r="I25" s="131">
        <f>IF(NOT(ISBLANK($B25)),VLOOKUP($B25,specdata,2,FALSE()),"")</f>
        <v>1</v>
      </c>
      <c r="J25" s="131">
        <f>VLOOKUP(G25,AvailabilityData,2,FALSE())</f>
        <v>0</v>
      </c>
      <c r="K25" s="131">
        <f>I25*J25</f>
        <v>0</v>
      </c>
      <c r="L25" s="118">
        <v>1</v>
      </c>
    </row>
    <row r="26" spans="1:12" ht="30" customHeight="1" x14ac:dyDescent="0.3">
      <c r="A26" s="132" t="str">
        <f>IF(L26=1,"Paging-"&amp;TEXT(COUNTIF($L$3:L26, "1"), "0"), "")</f>
        <v>Paging-21</v>
      </c>
      <c r="B26" s="133" t="s">
        <v>43</v>
      </c>
      <c r="C26" s="154" t="s">
        <v>1046</v>
      </c>
      <c r="D26" s="270"/>
      <c r="E26" s="186"/>
      <c r="F26" s="166"/>
      <c r="G26" s="137" t="s">
        <v>101</v>
      </c>
      <c r="H26" s="525"/>
      <c r="I26" s="131">
        <f>IF(NOT(ISBLANK($B26)),VLOOKUP($B26,specdata,2,FALSE()),"")</f>
        <v>1</v>
      </c>
      <c r="J26" s="131">
        <f>VLOOKUP(G26,AvailabilityData,2,FALSE())</f>
        <v>0</v>
      </c>
      <c r="K26" s="131">
        <f>I26*J26</f>
        <v>0</v>
      </c>
      <c r="L26" s="118">
        <v>1</v>
      </c>
    </row>
    <row r="27" spans="1:12" ht="30" customHeight="1" x14ac:dyDescent="0.3">
      <c r="A27" s="132" t="str">
        <f>IF(L27=1,"Paging-"&amp;TEXT(COUNTIF($L$3:L27, "1"), "0"), "")</f>
        <v>Paging-22</v>
      </c>
      <c r="B27" s="133" t="s">
        <v>43</v>
      </c>
      <c r="C27" s="154" t="s">
        <v>1047</v>
      </c>
      <c r="D27" s="185"/>
      <c r="E27" s="186"/>
      <c r="F27" s="166"/>
      <c r="G27" s="137" t="s">
        <v>101</v>
      </c>
      <c r="I27" s="131">
        <f>IF(NOT(ISBLANK($B27)),VLOOKUP($B27,specdata,2,FALSE()),"")</f>
        <v>1</v>
      </c>
      <c r="J27" s="131">
        <f>VLOOKUP(G27,AvailabilityData,2,FALSE())</f>
        <v>0</v>
      </c>
      <c r="K27" s="131">
        <f>I27*J27</f>
        <v>0</v>
      </c>
      <c r="L27" s="118">
        <v>1</v>
      </c>
    </row>
    <row r="28" spans="1:12" ht="30" customHeight="1" x14ac:dyDescent="0.3">
      <c r="A28" s="132" t="str">
        <f>IF(L28=1,"Paging-"&amp;TEXT(COUNTIF($L$3:L28, "1"), "0"), "")</f>
        <v>Paging-23</v>
      </c>
      <c r="B28" s="169" t="s">
        <v>43</v>
      </c>
      <c r="C28" s="271" t="s">
        <v>1048</v>
      </c>
      <c r="D28" s="528"/>
      <c r="E28" s="172"/>
      <c r="F28" s="173"/>
      <c r="G28" s="137" t="s">
        <v>101</v>
      </c>
      <c r="H28" s="525"/>
      <c r="I28" s="131">
        <f>IF(NOT(ISBLANK($B28)),VLOOKUP($B28,specdata,2,FALSE()),"")</f>
        <v>1</v>
      </c>
      <c r="J28" s="131">
        <f>VLOOKUP(G28,AvailabilityData,2,FALSE())</f>
        <v>0</v>
      </c>
      <c r="K28" s="131">
        <f>I28*J28</f>
        <v>0</v>
      </c>
      <c r="L28" s="118">
        <v>1</v>
      </c>
    </row>
    <row r="29" spans="1:12" x14ac:dyDescent="0.3">
      <c r="A29" s="448"/>
      <c r="B29" s="126"/>
      <c r="C29" s="286" t="s">
        <v>1049</v>
      </c>
      <c r="D29" s="179"/>
      <c r="E29" s="180"/>
      <c r="F29" s="181"/>
      <c r="G29" s="849"/>
      <c r="H29" s="525"/>
      <c r="I29" s="131"/>
      <c r="J29" s="131"/>
      <c r="K29" s="131"/>
    </row>
    <row r="30" spans="1:12" ht="30" customHeight="1" x14ac:dyDescent="0.3">
      <c r="A30" s="132" t="str">
        <f>IF(L30=1,"Paging-"&amp;TEXT(COUNTIF($L$3:L30, "1"), "0"), "")</f>
        <v>Paging-24</v>
      </c>
      <c r="B30" s="183" t="s">
        <v>43</v>
      </c>
      <c r="C30" s="278" t="s">
        <v>1050</v>
      </c>
      <c r="D30" s="270"/>
      <c r="E30" s="186"/>
      <c r="F30" s="191"/>
      <c r="G30" s="187" t="s">
        <v>101</v>
      </c>
      <c r="H30" s="525"/>
      <c r="I30" s="131">
        <f t="shared" ref="I30:I41" si="3">IF(NOT(ISBLANK($B30)),VLOOKUP($B30,specdata,2,FALSE()),"")</f>
        <v>1</v>
      </c>
      <c r="J30" s="131">
        <f t="shared" ref="J30:J41" si="4">VLOOKUP(G30,AvailabilityData,2,FALSE())</f>
        <v>0</v>
      </c>
      <c r="K30" s="131">
        <f t="shared" ref="K30:K41" si="5">I30*J30</f>
        <v>0</v>
      </c>
      <c r="L30" s="118">
        <v>1</v>
      </c>
    </row>
    <row r="31" spans="1:12" ht="30" customHeight="1" x14ac:dyDescent="0.3">
      <c r="A31" s="132" t="str">
        <f>IF(L31=1,"Paging-"&amp;TEXT(COUNTIF($L$3:L31, "1"), "0"), "")</f>
        <v>Paging-25</v>
      </c>
      <c r="B31" s="133" t="s">
        <v>43</v>
      </c>
      <c r="C31" s="154" t="s">
        <v>1051</v>
      </c>
      <c r="D31" s="270"/>
      <c r="E31" s="186"/>
      <c r="F31" s="166"/>
      <c r="G31" s="137" t="s">
        <v>101</v>
      </c>
      <c r="H31" s="525"/>
      <c r="I31" s="131">
        <f t="shared" si="3"/>
        <v>1</v>
      </c>
      <c r="J31" s="131">
        <f t="shared" si="4"/>
        <v>0</v>
      </c>
      <c r="K31" s="131">
        <f t="shared" si="5"/>
        <v>0</v>
      </c>
      <c r="L31" s="118">
        <v>1</v>
      </c>
    </row>
    <row r="32" spans="1:12" ht="30" customHeight="1" x14ac:dyDescent="0.3">
      <c r="A32" s="132" t="str">
        <f>IF(L32=1,"Paging-"&amp;TEXT(COUNTIF($L$3:L32, "1"), "0"), "")</f>
        <v>Paging-26</v>
      </c>
      <c r="B32" s="133" t="s">
        <v>43</v>
      </c>
      <c r="C32" s="154" t="s">
        <v>1052</v>
      </c>
      <c r="D32" s="270"/>
      <c r="E32" s="186"/>
      <c r="F32" s="166"/>
      <c r="G32" s="137" t="s">
        <v>101</v>
      </c>
      <c r="H32" s="525"/>
      <c r="I32" s="131">
        <f t="shared" si="3"/>
        <v>1</v>
      </c>
      <c r="J32" s="131">
        <f t="shared" si="4"/>
        <v>0</v>
      </c>
      <c r="K32" s="131">
        <f t="shared" si="5"/>
        <v>0</v>
      </c>
      <c r="L32" s="118">
        <v>1</v>
      </c>
    </row>
    <row r="33" spans="1:12" ht="30" customHeight="1" x14ac:dyDescent="0.3">
      <c r="A33" s="132" t="str">
        <f>IF(L33=1,"Paging-"&amp;TEXT(COUNTIF($L$3:L33, "1"), "0"), "")</f>
        <v>Paging-27</v>
      </c>
      <c r="B33" s="133" t="s">
        <v>43</v>
      </c>
      <c r="C33" s="154" t="s">
        <v>1053</v>
      </c>
      <c r="D33" s="270"/>
      <c r="E33" s="186"/>
      <c r="F33" s="166"/>
      <c r="G33" s="137" t="s">
        <v>101</v>
      </c>
      <c r="I33" s="131">
        <f t="shared" si="3"/>
        <v>1</v>
      </c>
      <c r="J33" s="131">
        <f t="shared" si="4"/>
        <v>0</v>
      </c>
      <c r="K33" s="131">
        <f t="shared" si="5"/>
        <v>0</v>
      </c>
      <c r="L33" s="118">
        <v>1</v>
      </c>
    </row>
    <row r="34" spans="1:12" ht="30" customHeight="1" x14ac:dyDescent="0.3">
      <c r="A34" s="132" t="str">
        <f>IF(L34=1,"Paging-"&amp;TEXT(COUNTIF($L$3:L34, "1"), "0"), "")</f>
        <v>Paging-28</v>
      </c>
      <c r="B34" s="133" t="s">
        <v>43</v>
      </c>
      <c r="C34" s="154" t="s">
        <v>1054</v>
      </c>
      <c r="D34" s="270"/>
      <c r="E34" s="186"/>
      <c r="F34" s="166"/>
      <c r="G34" s="137" t="s">
        <v>101</v>
      </c>
      <c r="H34" s="525"/>
      <c r="I34" s="131">
        <f t="shared" si="3"/>
        <v>1</v>
      </c>
      <c r="J34" s="131">
        <f t="shared" si="4"/>
        <v>0</v>
      </c>
      <c r="K34" s="131">
        <f t="shared" si="5"/>
        <v>0</v>
      </c>
      <c r="L34" s="118">
        <v>1</v>
      </c>
    </row>
    <row r="35" spans="1:12" ht="30" customHeight="1" x14ac:dyDescent="0.3">
      <c r="A35" s="132" t="str">
        <f>IF(L35=1,"Paging-"&amp;TEXT(COUNTIF($L$3:L35, "1"), "0"), "")</f>
        <v>Paging-29</v>
      </c>
      <c r="B35" s="133" t="s">
        <v>43</v>
      </c>
      <c r="C35" s="154" t="s">
        <v>1055</v>
      </c>
      <c r="D35" s="270"/>
      <c r="E35" s="186"/>
      <c r="F35" s="166"/>
      <c r="G35" s="137" t="s">
        <v>101</v>
      </c>
      <c r="H35" s="525"/>
      <c r="I35" s="131">
        <f t="shared" si="3"/>
        <v>1</v>
      </c>
      <c r="J35" s="131">
        <f t="shared" si="4"/>
        <v>0</v>
      </c>
      <c r="K35" s="131">
        <f t="shared" si="5"/>
        <v>0</v>
      </c>
      <c r="L35" s="118">
        <v>1</v>
      </c>
    </row>
    <row r="36" spans="1:12" ht="30" customHeight="1" x14ac:dyDescent="0.3">
      <c r="A36" s="132" t="str">
        <f>IF(L36=1,"Paging-"&amp;TEXT(COUNTIF($L$3:L36, "1"), "0"), "")</f>
        <v>Paging-30</v>
      </c>
      <c r="B36" s="133" t="s">
        <v>43</v>
      </c>
      <c r="C36" s="154" t="s">
        <v>1056</v>
      </c>
      <c r="D36" s="270"/>
      <c r="E36" s="186"/>
      <c r="F36" s="166"/>
      <c r="G36" s="137" t="s">
        <v>101</v>
      </c>
      <c r="H36" s="525"/>
      <c r="I36" s="131">
        <f t="shared" si="3"/>
        <v>1</v>
      </c>
      <c r="J36" s="131">
        <f t="shared" si="4"/>
        <v>0</v>
      </c>
      <c r="K36" s="131">
        <f t="shared" si="5"/>
        <v>0</v>
      </c>
      <c r="L36" s="118">
        <v>1</v>
      </c>
    </row>
    <row r="37" spans="1:12" ht="30" customHeight="1" x14ac:dyDescent="0.3">
      <c r="A37" s="132" t="str">
        <f>IF(L37=1,"Paging-"&amp;TEXT(COUNTIF($L$3:L37, "1"), "0"), "")</f>
        <v>Paging-31</v>
      </c>
      <c r="B37" s="133" t="s">
        <v>43</v>
      </c>
      <c r="C37" s="154" t="s">
        <v>1057</v>
      </c>
      <c r="D37" s="270"/>
      <c r="E37" s="186"/>
      <c r="F37" s="166"/>
      <c r="G37" s="137" t="s">
        <v>101</v>
      </c>
      <c r="H37" s="525"/>
      <c r="I37" s="131">
        <f t="shared" si="3"/>
        <v>1</v>
      </c>
      <c r="J37" s="131">
        <f t="shared" si="4"/>
        <v>0</v>
      </c>
      <c r="K37" s="131">
        <f t="shared" si="5"/>
        <v>0</v>
      </c>
      <c r="L37" s="118">
        <v>1</v>
      </c>
    </row>
    <row r="38" spans="1:12" ht="30" customHeight="1" x14ac:dyDescent="0.3">
      <c r="A38" s="132" t="str">
        <f>IF(L38=1,"Paging-"&amp;TEXT(COUNTIF($L$3:L38, "1"), "0"), "")</f>
        <v>Paging-32</v>
      </c>
      <c r="B38" s="133" t="s">
        <v>43</v>
      </c>
      <c r="C38" s="154" t="s">
        <v>1058</v>
      </c>
      <c r="D38" s="138"/>
      <c r="E38" s="168"/>
      <c r="F38" s="137"/>
      <c r="G38" s="137" t="s">
        <v>101</v>
      </c>
      <c r="H38" s="525"/>
      <c r="I38" s="131">
        <f t="shared" si="3"/>
        <v>1</v>
      </c>
      <c r="J38" s="131">
        <f t="shared" si="4"/>
        <v>0</v>
      </c>
      <c r="K38" s="131">
        <f t="shared" si="5"/>
        <v>0</v>
      </c>
      <c r="L38" s="118">
        <v>1</v>
      </c>
    </row>
    <row r="39" spans="1:12" ht="30" customHeight="1" x14ac:dyDescent="0.3">
      <c r="A39" s="132" t="str">
        <f>IF(L39=1,"Paging-"&amp;TEXT(COUNTIF($L$3:L39, "1"), "0"), "")</f>
        <v>Paging-33</v>
      </c>
      <c r="B39" s="133" t="s">
        <v>43</v>
      </c>
      <c r="C39" s="154" t="s">
        <v>1059</v>
      </c>
      <c r="D39" s="138"/>
      <c r="E39" s="168"/>
      <c r="F39" s="137"/>
      <c r="G39" s="137" t="s">
        <v>101</v>
      </c>
      <c r="H39" s="525"/>
      <c r="I39" s="131">
        <f t="shared" si="3"/>
        <v>1</v>
      </c>
      <c r="J39" s="131">
        <f t="shared" si="4"/>
        <v>0</v>
      </c>
      <c r="K39" s="131">
        <f t="shared" si="5"/>
        <v>0</v>
      </c>
      <c r="L39" s="118">
        <v>1</v>
      </c>
    </row>
    <row r="40" spans="1:12" ht="30" customHeight="1" x14ac:dyDescent="0.3">
      <c r="A40" s="132" t="str">
        <f>IF(L40=1,"Paging-"&amp;TEXT(COUNTIF($L$3:L40, "1"), "0"), "")</f>
        <v>Paging-34</v>
      </c>
      <c r="B40" s="133" t="s">
        <v>43</v>
      </c>
      <c r="C40" s="154" t="s">
        <v>1060</v>
      </c>
      <c r="D40" s="138"/>
      <c r="E40" s="168"/>
      <c r="F40" s="137"/>
      <c r="G40" s="137" t="s">
        <v>101</v>
      </c>
      <c r="H40" s="525"/>
      <c r="I40" s="131">
        <f t="shared" si="3"/>
        <v>1</v>
      </c>
      <c r="J40" s="131">
        <f t="shared" si="4"/>
        <v>0</v>
      </c>
      <c r="K40" s="131">
        <f t="shared" si="5"/>
        <v>0</v>
      </c>
      <c r="L40" s="118">
        <v>1</v>
      </c>
    </row>
    <row r="41" spans="1:12" ht="30" customHeight="1" x14ac:dyDescent="0.3">
      <c r="A41" s="132" t="str">
        <f>IF(L41=1,"Paging-"&amp;TEXT(COUNTIF($L$3:L41, "1"), "0"), "")</f>
        <v>Paging-35</v>
      </c>
      <c r="B41" s="169" t="s">
        <v>43</v>
      </c>
      <c r="C41" s="273" t="s">
        <v>1061</v>
      </c>
      <c r="D41" s="323"/>
      <c r="E41" s="175"/>
      <c r="F41" s="176"/>
      <c r="G41" s="137" t="s">
        <v>101</v>
      </c>
      <c r="H41" s="525"/>
      <c r="I41" s="131">
        <f t="shared" si="3"/>
        <v>1</v>
      </c>
      <c r="J41" s="131">
        <f t="shared" si="4"/>
        <v>0</v>
      </c>
      <c r="K41" s="131">
        <f t="shared" si="5"/>
        <v>0</v>
      </c>
      <c r="L41" s="118">
        <v>1</v>
      </c>
    </row>
    <row r="42" spans="1:12" ht="31.2" x14ac:dyDescent="0.3">
      <c r="A42" s="448"/>
      <c r="B42" s="126"/>
      <c r="C42" s="286" t="s">
        <v>1062</v>
      </c>
      <c r="D42" s="179"/>
      <c r="E42" s="130"/>
      <c r="F42" s="130"/>
      <c r="G42" s="849"/>
      <c r="H42" s="525"/>
      <c r="I42" s="131"/>
      <c r="J42" s="131"/>
      <c r="K42" s="131"/>
    </row>
    <row r="43" spans="1:12" ht="30" customHeight="1" x14ac:dyDescent="0.3">
      <c r="A43" s="132" t="str">
        <f>IF(L43=1,"Paging-"&amp;TEXT(COUNTIF($L$3:L43, "1"), "0"), "")</f>
        <v>Paging-36</v>
      </c>
      <c r="B43" s="183" t="s">
        <v>43</v>
      </c>
      <c r="C43" s="278" t="s">
        <v>672</v>
      </c>
      <c r="D43" s="328"/>
      <c r="E43" s="175"/>
      <c r="F43" s="176"/>
      <c r="G43" s="176" t="s">
        <v>101</v>
      </c>
      <c r="H43" s="525"/>
      <c r="I43" s="131">
        <f t="shared" ref="I43:I51" si="6">IF(NOT(ISBLANK($B43)),VLOOKUP($B43,specdata,2,FALSE()),"")</f>
        <v>1</v>
      </c>
      <c r="J43" s="131">
        <f t="shared" ref="J43:J51" si="7">VLOOKUP(G43,AvailabilityData,2,FALSE())</f>
        <v>0</v>
      </c>
      <c r="K43" s="131">
        <f t="shared" ref="K43:K51" si="8">I43*J43</f>
        <v>0</v>
      </c>
      <c r="L43" s="118">
        <v>1</v>
      </c>
    </row>
    <row r="44" spans="1:12" ht="30" customHeight="1" x14ac:dyDescent="0.3">
      <c r="A44" s="132" t="str">
        <f>IF(L44=1,"Paging-"&amp;TEXT(COUNTIF($L$3:L44, "1"), "0"), "")</f>
        <v>Paging-37</v>
      </c>
      <c r="B44" s="133" t="s">
        <v>43</v>
      </c>
      <c r="C44" s="154" t="s">
        <v>673</v>
      </c>
      <c r="D44" s="153"/>
      <c r="E44" s="175"/>
      <c r="F44" s="176"/>
      <c r="G44" s="176" t="s">
        <v>101</v>
      </c>
      <c r="H44" s="525"/>
      <c r="I44" s="131">
        <f t="shared" si="6"/>
        <v>1</v>
      </c>
      <c r="J44" s="131">
        <f t="shared" si="7"/>
        <v>0</v>
      </c>
      <c r="K44" s="131">
        <f t="shared" si="8"/>
        <v>0</v>
      </c>
      <c r="L44" s="118">
        <v>1</v>
      </c>
    </row>
    <row r="45" spans="1:12" ht="30" customHeight="1" x14ac:dyDescent="0.3">
      <c r="A45" s="132" t="str">
        <f>IF(L45=1,"Paging-"&amp;TEXT(COUNTIF($L$3:L45, "1"), "0"), "")</f>
        <v>Paging-38</v>
      </c>
      <c r="B45" s="133" t="s">
        <v>43</v>
      </c>
      <c r="C45" s="154" t="s">
        <v>674</v>
      </c>
      <c r="D45" s="153"/>
      <c r="E45" s="175"/>
      <c r="F45" s="176"/>
      <c r="G45" s="176" t="s">
        <v>101</v>
      </c>
      <c r="H45" s="525"/>
      <c r="I45" s="131">
        <f t="shared" si="6"/>
        <v>1</v>
      </c>
      <c r="J45" s="131">
        <f t="shared" si="7"/>
        <v>0</v>
      </c>
      <c r="K45" s="131">
        <f t="shared" si="8"/>
        <v>0</v>
      </c>
      <c r="L45" s="118">
        <v>1</v>
      </c>
    </row>
    <row r="46" spans="1:12" ht="30" customHeight="1" x14ac:dyDescent="0.3">
      <c r="A46" s="132" t="str">
        <f>IF(L46=1,"Paging-"&amp;TEXT(COUNTIF($L$3:L46, "1"), "0"), "")</f>
        <v>Paging-39</v>
      </c>
      <c r="B46" s="133" t="s">
        <v>43</v>
      </c>
      <c r="C46" s="154" t="s">
        <v>675</v>
      </c>
      <c r="D46" s="153"/>
      <c r="E46" s="175"/>
      <c r="F46" s="176"/>
      <c r="G46" s="176" t="s">
        <v>101</v>
      </c>
      <c r="I46" s="131">
        <f t="shared" si="6"/>
        <v>1</v>
      </c>
      <c r="J46" s="131">
        <f t="shared" si="7"/>
        <v>0</v>
      </c>
      <c r="K46" s="131">
        <f t="shared" si="8"/>
        <v>0</v>
      </c>
      <c r="L46" s="118">
        <v>1</v>
      </c>
    </row>
    <row r="47" spans="1:12" ht="30" customHeight="1" x14ac:dyDescent="0.3">
      <c r="A47" s="132" t="str">
        <f>IF(L47=1,"Paging-"&amp;TEXT(COUNTIF($L$3:L47, "1"), "0"), "")</f>
        <v>Paging-40</v>
      </c>
      <c r="B47" s="133" t="s">
        <v>43</v>
      </c>
      <c r="C47" s="154" t="s">
        <v>676</v>
      </c>
      <c r="D47" s="153"/>
      <c r="E47" s="175"/>
      <c r="F47" s="176"/>
      <c r="G47" s="176" t="s">
        <v>101</v>
      </c>
      <c r="H47" s="525"/>
      <c r="I47" s="131">
        <f t="shared" si="6"/>
        <v>1</v>
      </c>
      <c r="J47" s="131">
        <f t="shared" si="7"/>
        <v>0</v>
      </c>
      <c r="K47" s="131">
        <f t="shared" si="8"/>
        <v>0</v>
      </c>
      <c r="L47" s="118">
        <v>1</v>
      </c>
    </row>
    <row r="48" spans="1:12" ht="30" customHeight="1" x14ac:dyDescent="0.3">
      <c r="A48" s="132" t="str">
        <f>IF(L48=1,"Paging-"&amp;TEXT(COUNTIF($L$3:L48, "1"), "0"), "")</f>
        <v>Paging-41</v>
      </c>
      <c r="B48" s="133" t="s">
        <v>43</v>
      </c>
      <c r="C48" s="154" t="s">
        <v>1063</v>
      </c>
      <c r="D48" s="138"/>
      <c r="E48" s="175"/>
      <c r="F48" s="176"/>
      <c r="G48" s="176" t="s">
        <v>101</v>
      </c>
      <c r="H48" s="525"/>
      <c r="I48" s="131">
        <f t="shared" si="6"/>
        <v>1</v>
      </c>
      <c r="J48" s="131">
        <f t="shared" si="7"/>
        <v>0</v>
      </c>
      <c r="K48" s="131">
        <f t="shared" si="8"/>
        <v>0</v>
      </c>
      <c r="L48" s="118">
        <v>1</v>
      </c>
    </row>
    <row r="49" spans="1:12" ht="30" customHeight="1" x14ac:dyDescent="0.3">
      <c r="A49" s="132" t="str">
        <f>IF(L49=1,"Paging-"&amp;TEXT(COUNTIF($L$3:L49, "1"), "0"), "")</f>
        <v>Paging-42</v>
      </c>
      <c r="B49" s="133" t="s">
        <v>43</v>
      </c>
      <c r="C49" s="154" t="s">
        <v>1064</v>
      </c>
      <c r="D49" s="326"/>
      <c r="E49" s="175"/>
      <c r="F49" s="176"/>
      <c r="G49" s="176" t="s">
        <v>101</v>
      </c>
      <c r="H49" s="525"/>
      <c r="I49" s="131">
        <f t="shared" si="6"/>
        <v>1</v>
      </c>
      <c r="J49" s="131">
        <f t="shared" si="7"/>
        <v>0</v>
      </c>
      <c r="K49" s="131">
        <f t="shared" si="8"/>
        <v>0</v>
      </c>
      <c r="L49" s="118">
        <v>1</v>
      </c>
    </row>
    <row r="50" spans="1:12" ht="30" customHeight="1" x14ac:dyDescent="0.3">
      <c r="A50" s="132" t="str">
        <f>IF(L50=1,"Paging-"&amp;TEXT(COUNTIF($L$3:L50, "1"), "0"), "")</f>
        <v>Paging-43</v>
      </c>
      <c r="B50" s="169" t="s">
        <v>43</v>
      </c>
      <c r="C50" s="273" t="s">
        <v>1065</v>
      </c>
      <c r="D50" s="327"/>
      <c r="E50" s="175"/>
      <c r="F50" s="176"/>
      <c r="G50" s="176" t="s">
        <v>101</v>
      </c>
      <c r="H50" s="525"/>
      <c r="I50" s="131">
        <f t="shared" si="6"/>
        <v>1</v>
      </c>
      <c r="J50" s="131">
        <f t="shared" si="7"/>
        <v>0</v>
      </c>
      <c r="K50" s="131">
        <f t="shared" si="8"/>
        <v>0</v>
      </c>
      <c r="L50" s="118">
        <v>1</v>
      </c>
    </row>
    <row r="51" spans="1:12" ht="30" customHeight="1" x14ac:dyDescent="0.3">
      <c r="A51" s="132" t="str">
        <f>IF(L51=1,"Paging-"&amp;TEXT(COUNTIF($L$3:L51, "1"), "0"), "")</f>
        <v>Paging-44</v>
      </c>
      <c r="B51" s="169" t="s">
        <v>43</v>
      </c>
      <c r="C51" s="134" t="s">
        <v>1066</v>
      </c>
      <c r="D51" s="529"/>
      <c r="E51" s="175"/>
      <c r="F51" s="176"/>
      <c r="G51" s="137" t="s">
        <v>101</v>
      </c>
      <c r="H51" s="525"/>
      <c r="I51" s="131">
        <f t="shared" si="6"/>
        <v>1</v>
      </c>
      <c r="J51" s="131">
        <f t="shared" si="7"/>
        <v>0</v>
      </c>
      <c r="K51" s="131">
        <f t="shared" si="8"/>
        <v>0</v>
      </c>
      <c r="L51" s="118">
        <v>1</v>
      </c>
    </row>
    <row r="52" spans="1:12" ht="31.2" x14ac:dyDescent="0.3">
      <c r="A52" s="448"/>
      <c r="B52" s="126"/>
      <c r="C52" s="286" t="s">
        <v>1067</v>
      </c>
      <c r="D52" s="130"/>
      <c r="E52" s="130"/>
      <c r="F52" s="130"/>
      <c r="G52" s="849"/>
      <c r="H52" s="525"/>
      <c r="I52" s="131"/>
      <c r="J52" s="131"/>
      <c r="K52" s="131"/>
    </row>
    <row r="53" spans="1:12" ht="30" customHeight="1" x14ac:dyDescent="0.3">
      <c r="A53" s="132" t="str">
        <f>IF(L53=1,"Paging-"&amp;TEXT(COUNTIF($L$3:L53, "1"), "0"), "")</f>
        <v>Paging-45</v>
      </c>
      <c r="B53" s="183" t="s">
        <v>43</v>
      </c>
      <c r="C53" s="278" t="s">
        <v>1068</v>
      </c>
      <c r="D53" s="328"/>
      <c r="E53" s="175"/>
      <c r="F53" s="176"/>
      <c r="G53" s="176" t="s">
        <v>101</v>
      </c>
      <c r="H53" s="525"/>
      <c r="I53" s="131">
        <f t="shared" ref="I53:I65" si="9">IF(NOT(ISBLANK($B53)),VLOOKUP($B53,specdata,2,FALSE()),"")</f>
        <v>1</v>
      </c>
      <c r="J53" s="131">
        <f t="shared" ref="J53:J65" si="10">VLOOKUP(G53,AvailabilityData,2,FALSE())</f>
        <v>0</v>
      </c>
      <c r="K53" s="131">
        <f t="shared" ref="K53:K65" si="11">I53*J53</f>
        <v>0</v>
      </c>
      <c r="L53" s="118">
        <v>1</v>
      </c>
    </row>
    <row r="54" spans="1:12" ht="30" customHeight="1" x14ac:dyDescent="0.3">
      <c r="A54" s="132" t="str">
        <f>IF(L54=1,"Paging-"&amp;TEXT(COUNTIF($L$3:L54, "1"), "0"), "")</f>
        <v>Paging-46</v>
      </c>
      <c r="B54" s="133" t="s">
        <v>43</v>
      </c>
      <c r="C54" s="154" t="s">
        <v>1069</v>
      </c>
      <c r="D54" s="326"/>
      <c r="E54" s="175"/>
      <c r="F54" s="176"/>
      <c r="G54" s="176" t="s">
        <v>101</v>
      </c>
      <c r="H54" s="525"/>
      <c r="I54" s="131">
        <f t="shared" si="9"/>
        <v>1</v>
      </c>
      <c r="J54" s="131">
        <f t="shared" si="10"/>
        <v>0</v>
      </c>
      <c r="K54" s="131">
        <f t="shared" si="11"/>
        <v>0</v>
      </c>
      <c r="L54" s="118">
        <v>1</v>
      </c>
    </row>
    <row r="55" spans="1:12" ht="30" customHeight="1" x14ac:dyDescent="0.3">
      <c r="A55" s="132" t="str">
        <f>IF(L55=1,"Paging-"&amp;TEXT(COUNTIF($L$3:L55, "1"), "0"), "")</f>
        <v>Paging-47</v>
      </c>
      <c r="B55" s="133" t="s">
        <v>43</v>
      </c>
      <c r="C55" s="154" t="s">
        <v>1070</v>
      </c>
      <c r="D55" s="326"/>
      <c r="E55" s="175"/>
      <c r="F55" s="176"/>
      <c r="G55" s="176" t="s">
        <v>101</v>
      </c>
      <c r="H55" s="525"/>
      <c r="I55" s="131">
        <f t="shared" si="9"/>
        <v>1</v>
      </c>
      <c r="J55" s="131">
        <f t="shared" si="10"/>
        <v>0</v>
      </c>
      <c r="K55" s="131">
        <f t="shared" si="11"/>
        <v>0</v>
      </c>
      <c r="L55" s="118">
        <v>1</v>
      </c>
    </row>
    <row r="56" spans="1:12" ht="30" customHeight="1" x14ac:dyDescent="0.3">
      <c r="A56" s="132" t="str">
        <f>IF(L56=1,"Paging-"&amp;TEXT(COUNTIF($L$3:L56, "1"), "0"), "")</f>
        <v>Paging-48</v>
      </c>
      <c r="B56" s="133" t="s">
        <v>43</v>
      </c>
      <c r="C56" s="154" t="s">
        <v>1071</v>
      </c>
      <c r="D56" s="326"/>
      <c r="E56" s="175"/>
      <c r="F56" s="176"/>
      <c r="G56" s="176" t="s">
        <v>101</v>
      </c>
      <c r="I56" s="131">
        <f t="shared" si="9"/>
        <v>1</v>
      </c>
      <c r="J56" s="131">
        <f t="shared" si="10"/>
        <v>0</v>
      </c>
      <c r="K56" s="131">
        <f t="shared" si="11"/>
        <v>0</v>
      </c>
      <c r="L56" s="118">
        <v>1</v>
      </c>
    </row>
    <row r="57" spans="1:12" ht="30" customHeight="1" x14ac:dyDescent="0.3">
      <c r="A57" s="132" t="str">
        <f>IF(L57=1,"Paging-"&amp;TEXT(COUNTIF($L$3:L57, "1"), "0"), "")</f>
        <v>Paging-49</v>
      </c>
      <c r="B57" s="133" t="s">
        <v>43</v>
      </c>
      <c r="C57" s="154" t="s">
        <v>1072</v>
      </c>
      <c r="D57" s="326"/>
      <c r="E57" s="175"/>
      <c r="F57" s="176"/>
      <c r="G57" s="176" t="s">
        <v>101</v>
      </c>
      <c r="H57" s="525"/>
      <c r="I57" s="131">
        <f t="shared" si="9"/>
        <v>1</v>
      </c>
      <c r="J57" s="131">
        <f t="shared" si="10"/>
        <v>0</v>
      </c>
      <c r="K57" s="131">
        <f t="shared" si="11"/>
        <v>0</v>
      </c>
      <c r="L57" s="118">
        <v>1</v>
      </c>
    </row>
    <row r="58" spans="1:12" ht="30" customHeight="1" x14ac:dyDescent="0.3">
      <c r="A58" s="132" t="str">
        <f>IF(L58=1,"Paging-"&amp;TEXT(COUNTIF($L$3:L58, "1"), "0"), "")</f>
        <v>Paging-50</v>
      </c>
      <c r="B58" s="133" t="s">
        <v>43</v>
      </c>
      <c r="C58" s="154" t="s">
        <v>1073</v>
      </c>
      <c r="D58" s="326"/>
      <c r="E58" s="175"/>
      <c r="F58" s="176"/>
      <c r="G58" s="176" t="s">
        <v>101</v>
      </c>
      <c r="H58" s="525"/>
      <c r="I58" s="131">
        <f t="shared" si="9"/>
        <v>1</v>
      </c>
      <c r="J58" s="131">
        <f t="shared" si="10"/>
        <v>0</v>
      </c>
      <c r="K58" s="131">
        <f t="shared" si="11"/>
        <v>0</v>
      </c>
      <c r="L58" s="118">
        <v>1</v>
      </c>
    </row>
    <row r="59" spans="1:12" ht="31.2" x14ac:dyDescent="0.3">
      <c r="A59" s="132" t="str">
        <f>IF(L59=1,"Paging-"&amp;TEXT(COUNTIF($L$3:L59, "1"), "0"), "")</f>
        <v>Paging-51</v>
      </c>
      <c r="B59" s="133" t="s">
        <v>43</v>
      </c>
      <c r="C59" s="154" t="s">
        <v>1074</v>
      </c>
      <c r="D59" s="326"/>
      <c r="E59" s="175"/>
      <c r="F59" s="176"/>
      <c r="G59" s="176" t="s">
        <v>101</v>
      </c>
      <c r="H59" s="525"/>
      <c r="I59" s="131">
        <f t="shared" si="9"/>
        <v>1</v>
      </c>
      <c r="J59" s="131">
        <f t="shared" si="10"/>
        <v>0</v>
      </c>
      <c r="K59" s="131">
        <f t="shared" si="11"/>
        <v>0</v>
      </c>
      <c r="L59" s="118">
        <v>1</v>
      </c>
    </row>
    <row r="60" spans="1:12" ht="31.2" x14ac:dyDescent="0.3">
      <c r="A60" s="132" t="str">
        <f>IF(L60=1,"Paging-"&amp;TEXT(COUNTIF($L$3:L60, "1"), "0"), "")</f>
        <v>Paging-52</v>
      </c>
      <c r="B60" s="133" t="s">
        <v>43</v>
      </c>
      <c r="C60" s="154" t="s">
        <v>1075</v>
      </c>
      <c r="D60" s="326"/>
      <c r="E60" s="175"/>
      <c r="F60" s="176"/>
      <c r="G60" s="176" t="s">
        <v>101</v>
      </c>
      <c r="H60" s="525"/>
      <c r="I60" s="131">
        <f t="shared" si="9"/>
        <v>1</v>
      </c>
      <c r="J60" s="131">
        <f t="shared" si="10"/>
        <v>0</v>
      </c>
      <c r="K60" s="131">
        <f t="shared" si="11"/>
        <v>0</v>
      </c>
      <c r="L60" s="118">
        <v>1</v>
      </c>
    </row>
    <row r="61" spans="1:12" ht="30" customHeight="1" x14ac:dyDescent="0.3">
      <c r="A61" s="132" t="str">
        <f>IF(L61=1,"Paging-"&amp;TEXT(COUNTIF($L$3:L61, "1"), "0"), "")</f>
        <v>Paging-53</v>
      </c>
      <c r="B61" s="133" t="s">
        <v>43</v>
      </c>
      <c r="C61" s="154" t="s">
        <v>1076</v>
      </c>
      <c r="D61" s="326"/>
      <c r="E61" s="175"/>
      <c r="F61" s="176"/>
      <c r="G61" s="176" t="s">
        <v>101</v>
      </c>
      <c r="H61" s="525"/>
      <c r="I61" s="131">
        <f t="shared" si="9"/>
        <v>1</v>
      </c>
      <c r="J61" s="131">
        <f t="shared" si="10"/>
        <v>0</v>
      </c>
      <c r="K61" s="131">
        <f t="shared" si="11"/>
        <v>0</v>
      </c>
      <c r="L61" s="118">
        <v>1</v>
      </c>
    </row>
    <row r="62" spans="1:12" ht="30" customHeight="1" x14ac:dyDescent="0.3">
      <c r="A62" s="132" t="str">
        <f>IF(L62=1,"Paging-"&amp;TEXT(COUNTIF($L$3:L62, "1"), "0"), "")</f>
        <v>Paging-54</v>
      </c>
      <c r="B62" s="133" t="s">
        <v>43</v>
      </c>
      <c r="C62" s="154" t="s">
        <v>1077</v>
      </c>
      <c r="D62" s="326"/>
      <c r="E62" s="175"/>
      <c r="F62" s="176"/>
      <c r="G62" s="176" t="s">
        <v>101</v>
      </c>
      <c r="H62" s="525"/>
      <c r="I62" s="131">
        <f t="shared" si="9"/>
        <v>1</v>
      </c>
      <c r="J62" s="131">
        <f t="shared" si="10"/>
        <v>0</v>
      </c>
      <c r="K62" s="131">
        <f t="shared" si="11"/>
        <v>0</v>
      </c>
      <c r="L62" s="118">
        <v>1</v>
      </c>
    </row>
    <row r="63" spans="1:12" ht="30" customHeight="1" x14ac:dyDescent="0.3">
      <c r="A63" s="132" t="str">
        <f>IF(L63=1,"Paging-"&amp;TEXT(COUNTIF($L$3:L63, "1"), "0"), "")</f>
        <v>Paging-55</v>
      </c>
      <c r="B63" s="133" t="s">
        <v>43</v>
      </c>
      <c r="C63" s="154" t="s">
        <v>1078</v>
      </c>
      <c r="D63" s="326"/>
      <c r="E63" s="175"/>
      <c r="F63" s="176"/>
      <c r="G63" s="176" t="s">
        <v>101</v>
      </c>
      <c r="H63" s="525"/>
      <c r="I63" s="131">
        <f t="shared" si="9"/>
        <v>1</v>
      </c>
      <c r="J63" s="131">
        <f t="shared" si="10"/>
        <v>0</v>
      </c>
      <c r="K63" s="131">
        <f t="shared" si="11"/>
        <v>0</v>
      </c>
      <c r="L63" s="118">
        <v>1</v>
      </c>
    </row>
    <row r="64" spans="1:12" ht="30" customHeight="1" x14ac:dyDescent="0.3">
      <c r="A64" s="132" t="str">
        <f>IF(L64=1,"Paging-"&amp;TEXT(COUNTIF($L$3:L64, "1"), "0"), "")</f>
        <v>Paging-56</v>
      </c>
      <c r="B64" s="133" t="s">
        <v>43</v>
      </c>
      <c r="C64" s="154" t="s">
        <v>1079</v>
      </c>
      <c r="D64" s="326"/>
      <c r="E64" s="175"/>
      <c r="F64" s="176"/>
      <c r="G64" s="176" t="s">
        <v>101</v>
      </c>
      <c r="H64" s="525"/>
      <c r="I64" s="131">
        <f t="shared" si="9"/>
        <v>1</v>
      </c>
      <c r="J64" s="131">
        <f t="shared" si="10"/>
        <v>0</v>
      </c>
      <c r="K64" s="131">
        <f t="shared" si="11"/>
        <v>0</v>
      </c>
      <c r="L64" s="118">
        <v>1</v>
      </c>
    </row>
    <row r="65" spans="1:12" ht="30" customHeight="1" x14ac:dyDescent="0.3">
      <c r="A65" s="132" t="str">
        <f>IF(L65=1,"Paging-"&amp;TEXT(COUNTIF($L$3:L65, "1"), "0"), "")</f>
        <v>Paging-57</v>
      </c>
      <c r="B65" s="169" t="s">
        <v>43</v>
      </c>
      <c r="C65" s="273" t="s">
        <v>1080</v>
      </c>
      <c r="D65" s="327"/>
      <c r="E65" s="175"/>
      <c r="F65" s="176"/>
      <c r="G65" s="137" t="s">
        <v>101</v>
      </c>
      <c r="H65" s="525"/>
      <c r="I65" s="131">
        <f t="shared" si="9"/>
        <v>1</v>
      </c>
      <c r="J65" s="131">
        <f t="shared" si="10"/>
        <v>0</v>
      </c>
      <c r="K65" s="131">
        <f t="shared" si="11"/>
        <v>0</v>
      </c>
      <c r="L65" s="118">
        <v>1</v>
      </c>
    </row>
    <row r="66" spans="1:12" ht="30" customHeight="1" x14ac:dyDescent="0.3">
      <c r="A66" s="448"/>
      <c r="B66" s="126"/>
      <c r="C66" s="286" t="s">
        <v>1081</v>
      </c>
      <c r="D66" s="130"/>
      <c r="E66" s="130"/>
      <c r="F66" s="130"/>
      <c r="G66" s="849"/>
      <c r="H66" s="525"/>
      <c r="I66" s="131"/>
      <c r="J66" s="131"/>
      <c r="K66" s="131"/>
    </row>
    <row r="67" spans="1:12" ht="30" customHeight="1" x14ac:dyDescent="0.3">
      <c r="A67" s="132" t="str">
        <f>IF(L67=1,"Paging-"&amp;TEXT(COUNTIF($L$3:L67, "1"), "0"), "")</f>
        <v>Paging-58</v>
      </c>
      <c r="B67" s="183" t="s">
        <v>43</v>
      </c>
      <c r="C67" s="278" t="s">
        <v>195</v>
      </c>
      <c r="D67" s="328"/>
      <c r="E67" s="175"/>
      <c r="F67" s="176"/>
      <c r="G67" s="176" t="s">
        <v>101</v>
      </c>
      <c r="H67" s="525"/>
      <c r="I67" s="131">
        <f t="shared" ref="I67:I81" si="12">IF(NOT(ISBLANK($B67)),VLOOKUP($B67,specdata,2,FALSE()),"")</f>
        <v>1</v>
      </c>
      <c r="J67" s="131">
        <f t="shared" ref="J67:J81" si="13">VLOOKUP(G67,AvailabilityData,2,FALSE())</f>
        <v>0</v>
      </c>
      <c r="K67" s="131">
        <f t="shared" ref="K67:K81" si="14">I67*J67</f>
        <v>0</v>
      </c>
      <c r="L67" s="118">
        <v>1</v>
      </c>
    </row>
    <row r="68" spans="1:12" ht="30" customHeight="1" x14ac:dyDescent="0.3">
      <c r="A68" s="132" t="str">
        <f>IF(L68=1,"Paging-"&amp;TEXT(COUNTIF($L$3:L68, "1"), "0"), "")</f>
        <v>Paging-59</v>
      </c>
      <c r="B68" s="133" t="s">
        <v>43</v>
      </c>
      <c r="C68" s="154" t="s">
        <v>1082</v>
      </c>
      <c r="D68" s="326"/>
      <c r="E68" s="175"/>
      <c r="F68" s="176"/>
      <c r="G68" s="176" t="s">
        <v>101</v>
      </c>
      <c r="H68" s="525"/>
      <c r="I68" s="131">
        <f t="shared" si="12"/>
        <v>1</v>
      </c>
      <c r="J68" s="131">
        <f t="shared" si="13"/>
        <v>0</v>
      </c>
      <c r="K68" s="131">
        <f t="shared" si="14"/>
        <v>0</v>
      </c>
      <c r="L68" s="118">
        <v>1</v>
      </c>
    </row>
    <row r="69" spans="1:12" ht="30" customHeight="1" x14ac:dyDescent="0.3">
      <c r="A69" s="132" t="str">
        <f>IF(L69=1,"Paging-"&amp;TEXT(COUNTIF($L$3:L69, "1"), "0"), "")</f>
        <v>Paging-60</v>
      </c>
      <c r="B69" s="133" t="s">
        <v>43</v>
      </c>
      <c r="C69" s="154" t="s">
        <v>1083</v>
      </c>
      <c r="D69" s="326"/>
      <c r="E69" s="175"/>
      <c r="F69" s="176"/>
      <c r="G69" s="176" t="s">
        <v>101</v>
      </c>
      <c r="H69" s="525"/>
      <c r="I69" s="131">
        <f t="shared" si="12"/>
        <v>1</v>
      </c>
      <c r="J69" s="131">
        <f t="shared" si="13"/>
        <v>0</v>
      </c>
      <c r="K69" s="131">
        <f t="shared" si="14"/>
        <v>0</v>
      </c>
      <c r="L69" s="118">
        <v>1</v>
      </c>
    </row>
    <row r="70" spans="1:12" ht="30" customHeight="1" x14ac:dyDescent="0.3">
      <c r="A70" s="132" t="str">
        <f>IF(L70=1,"Paging-"&amp;TEXT(COUNTIF($L$3:L70, "1"), "0"), "")</f>
        <v>Paging-61</v>
      </c>
      <c r="B70" s="133" t="s">
        <v>43</v>
      </c>
      <c r="C70" s="154" t="s">
        <v>1084</v>
      </c>
      <c r="D70" s="326"/>
      <c r="E70" s="175"/>
      <c r="F70" s="176"/>
      <c r="G70" s="176" t="s">
        <v>101</v>
      </c>
      <c r="I70" s="131">
        <f t="shared" si="12"/>
        <v>1</v>
      </c>
      <c r="J70" s="131">
        <f t="shared" si="13"/>
        <v>0</v>
      </c>
      <c r="K70" s="131">
        <f t="shared" si="14"/>
        <v>0</v>
      </c>
      <c r="L70" s="118">
        <v>1</v>
      </c>
    </row>
    <row r="71" spans="1:12" ht="30" customHeight="1" x14ac:dyDescent="0.3">
      <c r="A71" s="132" t="str">
        <f>IF(L71=1,"Paging-"&amp;TEXT(COUNTIF($L$3:L71, "1"), "0"), "")</f>
        <v>Paging-62</v>
      </c>
      <c r="B71" s="133" t="s">
        <v>43</v>
      </c>
      <c r="C71" s="154" t="s">
        <v>1085</v>
      </c>
      <c r="D71" s="326"/>
      <c r="E71" s="175"/>
      <c r="F71" s="176"/>
      <c r="G71" s="176" t="s">
        <v>101</v>
      </c>
      <c r="H71" s="525"/>
      <c r="I71" s="131">
        <f t="shared" si="12"/>
        <v>1</v>
      </c>
      <c r="J71" s="131">
        <f t="shared" si="13"/>
        <v>0</v>
      </c>
      <c r="K71" s="131">
        <f t="shared" si="14"/>
        <v>0</v>
      </c>
      <c r="L71" s="118">
        <v>1</v>
      </c>
    </row>
    <row r="72" spans="1:12" ht="30" customHeight="1" x14ac:dyDescent="0.3">
      <c r="A72" s="132" t="str">
        <f>IF(L72=1,"Paging-"&amp;TEXT(COUNTIF($L$3:L72, "1"), "0"), "")</f>
        <v>Paging-63</v>
      </c>
      <c r="B72" s="133" t="s">
        <v>43</v>
      </c>
      <c r="C72" s="154" t="s">
        <v>1086</v>
      </c>
      <c r="D72" s="326"/>
      <c r="E72" s="175"/>
      <c r="F72" s="176"/>
      <c r="G72" s="176" t="s">
        <v>101</v>
      </c>
      <c r="H72" s="525"/>
      <c r="I72" s="131">
        <f t="shared" si="12"/>
        <v>1</v>
      </c>
      <c r="J72" s="131">
        <f t="shared" si="13"/>
        <v>0</v>
      </c>
      <c r="K72" s="131">
        <f t="shared" si="14"/>
        <v>0</v>
      </c>
      <c r="L72" s="118">
        <v>1</v>
      </c>
    </row>
    <row r="73" spans="1:12" ht="30" customHeight="1" x14ac:dyDescent="0.3">
      <c r="A73" s="132" t="str">
        <f>IF(L73=1,"Paging-"&amp;TEXT(COUNTIF($L$3:L73, "1"), "0"), "")</f>
        <v>Paging-64</v>
      </c>
      <c r="B73" s="133" t="s">
        <v>43</v>
      </c>
      <c r="C73" s="154" t="s">
        <v>1087</v>
      </c>
      <c r="D73" s="326"/>
      <c r="E73" s="175"/>
      <c r="F73" s="176"/>
      <c r="G73" s="176" t="s">
        <v>101</v>
      </c>
      <c r="H73" s="525"/>
      <c r="I73" s="131">
        <f t="shared" si="12"/>
        <v>1</v>
      </c>
      <c r="J73" s="131">
        <f t="shared" si="13"/>
        <v>0</v>
      </c>
      <c r="K73" s="131">
        <f t="shared" si="14"/>
        <v>0</v>
      </c>
      <c r="L73" s="118">
        <v>1</v>
      </c>
    </row>
    <row r="74" spans="1:12" ht="30" customHeight="1" x14ac:dyDescent="0.3">
      <c r="A74" s="132" t="str">
        <f>IF(L74=1,"Paging-"&amp;TEXT(COUNTIF($L$3:L74, "1"), "0"), "")</f>
        <v>Paging-65</v>
      </c>
      <c r="B74" s="133" t="s">
        <v>43</v>
      </c>
      <c r="C74" s="154" t="s">
        <v>1088</v>
      </c>
      <c r="D74" s="326"/>
      <c r="E74" s="175"/>
      <c r="F74" s="176"/>
      <c r="G74" s="176" t="s">
        <v>101</v>
      </c>
      <c r="H74" s="525"/>
      <c r="I74" s="131">
        <f t="shared" si="12"/>
        <v>1</v>
      </c>
      <c r="J74" s="131">
        <f t="shared" si="13"/>
        <v>0</v>
      </c>
      <c r="K74" s="131">
        <f t="shared" si="14"/>
        <v>0</v>
      </c>
      <c r="L74" s="118">
        <v>1</v>
      </c>
    </row>
    <row r="75" spans="1:12" ht="30" customHeight="1" x14ac:dyDescent="0.3">
      <c r="A75" s="132" t="str">
        <f>IF(L75=1,"Paging-"&amp;TEXT(COUNTIF($L$3:L75, "1"), "0"), "")</f>
        <v>Paging-66</v>
      </c>
      <c r="B75" s="133" t="s">
        <v>43</v>
      </c>
      <c r="C75" s="154" t="s">
        <v>1089</v>
      </c>
      <c r="D75" s="326"/>
      <c r="E75" s="175"/>
      <c r="F75" s="176"/>
      <c r="G75" s="176" t="s">
        <v>101</v>
      </c>
      <c r="H75" s="525"/>
      <c r="I75" s="131">
        <f t="shared" si="12"/>
        <v>1</v>
      </c>
      <c r="J75" s="131">
        <f t="shared" si="13"/>
        <v>0</v>
      </c>
      <c r="K75" s="131">
        <f t="shared" si="14"/>
        <v>0</v>
      </c>
      <c r="L75" s="118">
        <v>1</v>
      </c>
    </row>
    <row r="76" spans="1:12" ht="30" customHeight="1" x14ac:dyDescent="0.3">
      <c r="A76" s="132" t="str">
        <f>IF(L76=1,"Paging-"&amp;TEXT(COUNTIF($L$3:L76, "1"), "0"), "")</f>
        <v>Paging-67</v>
      </c>
      <c r="B76" s="133" t="s">
        <v>43</v>
      </c>
      <c r="C76" s="154" t="s">
        <v>1090</v>
      </c>
      <c r="D76" s="326"/>
      <c r="E76" s="175"/>
      <c r="F76" s="176"/>
      <c r="G76" s="176" t="s">
        <v>101</v>
      </c>
      <c r="H76" s="525"/>
      <c r="I76" s="131">
        <f t="shared" si="12"/>
        <v>1</v>
      </c>
      <c r="J76" s="131">
        <f t="shared" si="13"/>
        <v>0</v>
      </c>
      <c r="K76" s="131">
        <f t="shared" si="14"/>
        <v>0</v>
      </c>
      <c r="L76" s="118">
        <v>1</v>
      </c>
    </row>
    <row r="77" spans="1:12" ht="30" customHeight="1" x14ac:dyDescent="0.3">
      <c r="A77" s="132" t="str">
        <f>IF(L77=1,"Paging-"&amp;TEXT(COUNTIF($L$3:L77, "1"), "0"), "")</f>
        <v>Paging-68</v>
      </c>
      <c r="B77" s="133" t="s">
        <v>43</v>
      </c>
      <c r="C77" s="154" t="s">
        <v>1091</v>
      </c>
      <c r="D77" s="326"/>
      <c r="E77" s="175"/>
      <c r="F77" s="176"/>
      <c r="G77" s="176" t="s">
        <v>101</v>
      </c>
      <c r="H77" s="525"/>
      <c r="I77" s="131">
        <f t="shared" si="12"/>
        <v>1</v>
      </c>
      <c r="J77" s="131">
        <f t="shared" si="13"/>
        <v>0</v>
      </c>
      <c r="K77" s="131">
        <f t="shared" si="14"/>
        <v>0</v>
      </c>
      <c r="L77" s="118">
        <v>1</v>
      </c>
    </row>
    <row r="78" spans="1:12" ht="30" customHeight="1" x14ac:dyDescent="0.3">
      <c r="A78" s="132" t="str">
        <f>IF(L78=1,"Paging-"&amp;TEXT(COUNTIF($L$3:L78, "1"), "0"), "")</f>
        <v>Paging-69</v>
      </c>
      <c r="B78" s="133" t="s">
        <v>43</v>
      </c>
      <c r="C78" s="154" t="s">
        <v>1092</v>
      </c>
      <c r="D78" s="326"/>
      <c r="E78" s="175"/>
      <c r="F78" s="176"/>
      <c r="G78" s="176" t="s">
        <v>101</v>
      </c>
      <c r="H78" s="525"/>
      <c r="I78" s="131">
        <f t="shared" si="12"/>
        <v>1</v>
      </c>
      <c r="J78" s="131">
        <f t="shared" si="13"/>
        <v>0</v>
      </c>
      <c r="K78" s="131">
        <f t="shared" si="14"/>
        <v>0</v>
      </c>
      <c r="L78" s="118">
        <v>1</v>
      </c>
    </row>
    <row r="79" spans="1:12" ht="30" customHeight="1" x14ac:dyDescent="0.3">
      <c r="A79" s="132" t="str">
        <f>IF(L79=1,"Paging-"&amp;TEXT(COUNTIF($L$3:L79, "1"), "0"), "")</f>
        <v>Paging-70</v>
      </c>
      <c r="B79" s="133" t="s">
        <v>43</v>
      </c>
      <c r="C79" s="154" t="s">
        <v>1093</v>
      </c>
      <c r="D79" s="326"/>
      <c r="E79" s="175"/>
      <c r="F79" s="176"/>
      <c r="G79" s="176" t="s">
        <v>101</v>
      </c>
      <c r="H79" s="525"/>
      <c r="I79" s="131">
        <f t="shared" si="12"/>
        <v>1</v>
      </c>
      <c r="J79" s="131">
        <f t="shared" si="13"/>
        <v>0</v>
      </c>
      <c r="K79" s="131">
        <f t="shared" si="14"/>
        <v>0</v>
      </c>
      <c r="L79" s="118">
        <v>1</v>
      </c>
    </row>
    <row r="80" spans="1:12" ht="31.2" x14ac:dyDescent="0.3">
      <c r="A80" s="132" t="str">
        <f>IF(L80=1,"Paging-"&amp;TEXT(COUNTIF($L$3:L80, "1"), "0"), "")</f>
        <v>Paging-71</v>
      </c>
      <c r="B80" s="133" t="s">
        <v>43</v>
      </c>
      <c r="C80" s="134" t="s">
        <v>1094</v>
      </c>
      <c r="D80" s="326"/>
      <c r="E80" s="175"/>
      <c r="F80" s="176"/>
      <c r="G80" s="176" t="s">
        <v>101</v>
      </c>
      <c r="H80" s="525"/>
      <c r="I80" s="131">
        <f t="shared" si="12"/>
        <v>1</v>
      </c>
      <c r="J80" s="131">
        <f t="shared" si="13"/>
        <v>0</v>
      </c>
      <c r="K80" s="131">
        <f t="shared" si="14"/>
        <v>0</v>
      </c>
      <c r="L80" s="118">
        <v>1</v>
      </c>
    </row>
    <row r="81" spans="1:12" ht="31.2" x14ac:dyDescent="0.3">
      <c r="A81" s="132" t="str">
        <f>IF(L81=1,"Paging-"&amp;TEXT(COUNTIF($L$3:L81, "1"), "0"), "")</f>
        <v>Paging-72</v>
      </c>
      <c r="B81" s="169" t="s">
        <v>43</v>
      </c>
      <c r="C81" s="271" t="s">
        <v>1095</v>
      </c>
      <c r="D81" s="327"/>
      <c r="E81" s="175"/>
      <c r="F81" s="176"/>
      <c r="G81" s="137" t="s">
        <v>101</v>
      </c>
      <c r="H81" s="525"/>
      <c r="I81" s="131">
        <f t="shared" si="12"/>
        <v>1</v>
      </c>
      <c r="J81" s="131">
        <f t="shared" si="13"/>
        <v>0</v>
      </c>
      <c r="K81" s="131">
        <f t="shared" si="14"/>
        <v>0</v>
      </c>
      <c r="L81" s="118">
        <v>1</v>
      </c>
    </row>
    <row r="82" spans="1:12" ht="30" customHeight="1" x14ac:dyDescent="0.3">
      <c r="A82" s="448"/>
      <c r="B82" s="126"/>
      <c r="C82" s="286" t="s">
        <v>1096</v>
      </c>
      <c r="D82" s="130"/>
      <c r="E82" s="130"/>
      <c r="F82" s="130"/>
      <c r="G82" s="849"/>
      <c r="H82" s="525"/>
      <c r="I82" s="131"/>
      <c r="J82" s="131"/>
      <c r="K82" s="131"/>
    </row>
    <row r="83" spans="1:12" ht="30" customHeight="1" x14ac:dyDescent="0.3">
      <c r="A83" s="132" t="str">
        <f>IF(L83=1,"Paging-"&amp;TEXT(COUNTIF($L$3:L83, "1"), "0"), "")</f>
        <v>Paging-73</v>
      </c>
      <c r="B83" s="183" t="s">
        <v>43</v>
      </c>
      <c r="C83" s="278" t="s">
        <v>1097</v>
      </c>
      <c r="D83" s="328"/>
      <c r="E83" s="175"/>
      <c r="F83" s="176"/>
      <c r="G83" s="176" t="s">
        <v>101</v>
      </c>
      <c r="H83" s="525"/>
      <c r="I83" s="131">
        <f>IF(NOT(ISBLANK($B83)),VLOOKUP($B83,specdata,2,FALSE()),"")</f>
        <v>1</v>
      </c>
      <c r="J83" s="131">
        <f>VLOOKUP(G83,AvailabilityData,2,FALSE())</f>
        <v>0</v>
      </c>
      <c r="K83" s="131">
        <f>I83*J83</f>
        <v>0</v>
      </c>
      <c r="L83" s="118">
        <v>1</v>
      </c>
    </row>
    <row r="84" spans="1:12" ht="30" customHeight="1" x14ac:dyDescent="0.3">
      <c r="A84" s="132" t="str">
        <f>IF(L84=1,"Paging-"&amp;TEXT(COUNTIF($L$3:L84, "1"), "0"), "")</f>
        <v>Paging-74</v>
      </c>
      <c r="B84" s="133" t="s">
        <v>43</v>
      </c>
      <c r="C84" s="154" t="s">
        <v>1098</v>
      </c>
      <c r="D84" s="326"/>
      <c r="E84" s="175"/>
      <c r="F84" s="176"/>
      <c r="G84" s="176" t="s">
        <v>101</v>
      </c>
      <c r="H84" s="525"/>
      <c r="I84" s="131">
        <f>IF(NOT(ISBLANK($B84)),VLOOKUP($B84,specdata,2,FALSE()),"")</f>
        <v>1</v>
      </c>
      <c r="J84" s="131">
        <f>VLOOKUP(G84,AvailabilityData,2,FALSE())</f>
        <v>0</v>
      </c>
      <c r="K84" s="131">
        <f>I84*J84</f>
        <v>0</v>
      </c>
      <c r="L84" s="118">
        <v>1</v>
      </c>
    </row>
    <row r="85" spans="1:12" ht="45.75" customHeight="1" x14ac:dyDescent="0.3">
      <c r="A85" s="132" t="str">
        <f>IF(L85=1,"Paging-"&amp;TEXT(COUNTIF($L$3:L85, "1"), "0"), "")</f>
        <v>Paging-75</v>
      </c>
      <c r="B85" s="133" t="s">
        <v>43</v>
      </c>
      <c r="C85" s="154" t="s">
        <v>1099</v>
      </c>
      <c r="D85" s="326"/>
      <c r="E85" s="175"/>
      <c r="F85" s="176"/>
      <c r="G85" s="176" t="s">
        <v>101</v>
      </c>
      <c r="H85" s="525"/>
      <c r="I85" s="131">
        <f>IF(NOT(ISBLANK($B85)),VLOOKUP($B85,specdata,2,FALSE()),"")</f>
        <v>1</v>
      </c>
      <c r="J85" s="131">
        <f>VLOOKUP(G85,AvailabilityData,2,FALSE())</f>
        <v>0</v>
      </c>
      <c r="K85" s="131">
        <f>I85*J85</f>
        <v>0</v>
      </c>
      <c r="L85" s="118">
        <v>1</v>
      </c>
    </row>
    <row r="86" spans="1:12" ht="30" customHeight="1" x14ac:dyDescent="0.3">
      <c r="A86" s="132" t="str">
        <f>IF(L86=1,"Paging-"&amp;TEXT(COUNTIF($L$3:L86, "1"), "0"), "")</f>
        <v>Paging-76</v>
      </c>
      <c r="B86" s="133" t="s">
        <v>43</v>
      </c>
      <c r="C86" s="154" t="s">
        <v>1100</v>
      </c>
      <c r="D86" s="326"/>
      <c r="E86" s="175"/>
      <c r="F86" s="176"/>
      <c r="G86" s="176" t="s">
        <v>101</v>
      </c>
      <c r="I86" s="131">
        <f>IF(NOT(ISBLANK($B86)),VLOOKUP($B86,specdata,2,FALSE()),"")</f>
        <v>1</v>
      </c>
      <c r="J86" s="131">
        <f>VLOOKUP(G86,AvailabilityData,2,FALSE())</f>
        <v>0</v>
      </c>
      <c r="K86" s="131">
        <f>I86*J86</f>
        <v>0</v>
      </c>
      <c r="L86" s="118">
        <v>1</v>
      </c>
    </row>
    <row r="87" spans="1:12" ht="30" customHeight="1" x14ac:dyDescent="0.3">
      <c r="A87" s="132" t="str">
        <f>IF(L87=1,"Paging-"&amp;TEXT(COUNTIF($L$3:L87, "1"), "0"), "")</f>
        <v>Paging-77</v>
      </c>
      <c r="B87" s="169" t="s">
        <v>43</v>
      </c>
      <c r="C87" s="273" t="s">
        <v>1101</v>
      </c>
      <c r="D87" s="327"/>
      <c r="E87" s="175"/>
      <c r="F87" s="176"/>
      <c r="G87" s="137" t="s">
        <v>101</v>
      </c>
      <c r="H87" s="525"/>
      <c r="I87" s="131">
        <f>IF(NOT(ISBLANK($B87)),VLOOKUP($B87,specdata,2,FALSE()),"")</f>
        <v>1</v>
      </c>
      <c r="J87" s="131">
        <f>VLOOKUP(G87,AvailabilityData,2,FALSE())</f>
        <v>0</v>
      </c>
      <c r="K87" s="131">
        <f>I87*J87</f>
        <v>0</v>
      </c>
      <c r="L87" s="118">
        <v>1</v>
      </c>
    </row>
    <row r="88" spans="1:12" x14ac:dyDescent="0.3">
      <c r="A88" s="448"/>
      <c r="B88" s="126"/>
      <c r="C88" s="243" t="s">
        <v>165</v>
      </c>
      <c r="D88" s="130"/>
      <c r="E88" s="130"/>
      <c r="F88" s="130"/>
      <c r="G88" s="849"/>
      <c r="H88" s="525"/>
      <c r="I88" s="131"/>
      <c r="J88" s="131"/>
      <c r="K88" s="131"/>
    </row>
    <row r="89" spans="1:12" ht="30" customHeight="1" x14ac:dyDescent="0.3">
      <c r="A89" s="132" t="str">
        <f>IF(L89=1,"Paging-"&amp;TEXT(COUNTIF($L$3:L89, "1"), "0"), "")</f>
        <v>Paging-78</v>
      </c>
      <c r="B89" s="133" t="s">
        <v>43</v>
      </c>
      <c r="C89" s="274" t="s">
        <v>1102</v>
      </c>
      <c r="D89" s="392"/>
      <c r="E89" s="175"/>
      <c r="F89" s="176"/>
      <c r="G89" s="137" t="s">
        <v>101</v>
      </c>
      <c r="H89" s="525"/>
      <c r="I89" s="131">
        <f>IF(NOT(ISBLANK($B89)),VLOOKUP($B89,specdata,2,FALSE()),"")</f>
        <v>1</v>
      </c>
      <c r="J89" s="131">
        <f>VLOOKUP(G89,AvailabilityData,2,FALSE())</f>
        <v>0</v>
      </c>
      <c r="K89" s="131">
        <f>I89*J89</f>
        <v>0</v>
      </c>
      <c r="L89" s="118">
        <v>1</v>
      </c>
    </row>
    <row r="90" spans="1:12" x14ac:dyDescent="0.3">
      <c r="A90" s="448"/>
      <c r="B90" s="126"/>
      <c r="C90" s="286" t="s">
        <v>1103</v>
      </c>
      <c r="D90" s="130"/>
      <c r="E90" s="130"/>
      <c r="F90" s="130"/>
      <c r="G90" s="849"/>
      <c r="H90" s="525"/>
      <c r="I90" s="131"/>
      <c r="J90" s="131"/>
      <c r="K90" s="131"/>
    </row>
    <row r="91" spans="1:12" ht="30" customHeight="1" x14ac:dyDescent="0.3">
      <c r="A91" s="132" t="str">
        <f>IF(L91=1,"Paging-"&amp;TEXT(COUNTIF($L$3:L91, "1"), "0"), "")</f>
        <v>Paging-79</v>
      </c>
      <c r="B91" s="183" t="s">
        <v>43</v>
      </c>
      <c r="C91" s="278" t="s">
        <v>1104</v>
      </c>
      <c r="D91" s="328"/>
      <c r="E91" s="175"/>
      <c r="F91" s="176"/>
      <c r="G91" s="176" t="s">
        <v>101</v>
      </c>
      <c r="H91" s="525"/>
      <c r="I91" s="131">
        <f>IF(NOT(ISBLANK($B91)),VLOOKUP($B91,specdata,2,FALSE()),"")</f>
        <v>1</v>
      </c>
      <c r="J91" s="131">
        <f>VLOOKUP(G91,AvailabilityData,2,FALSE())</f>
        <v>0</v>
      </c>
      <c r="K91" s="131">
        <f>I91*J91</f>
        <v>0</v>
      </c>
      <c r="L91" s="118">
        <v>1</v>
      </c>
    </row>
    <row r="92" spans="1:12" ht="30" customHeight="1" x14ac:dyDescent="0.3">
      <c r="A92" s="132" t="str">
        <f>IF(L92=1,"Paging-"&amp;TEXT(COUNTIF($L$3:L92, "1"), "0"), "")</f>
        <v>Paging-80</v>
      </c>
      <c r="B92" s="133" t="s">
        <v>43</v>
      </c>
      <c r="C92" s="154" t="s">
        <v>677</v>
      </c>
      <c r="D92" s="326"/>
      <c r="E92" s="175"/>
      <c r="F92" s="176"/>
      <c r="G92" s="176" t="s">
        <v>101</v>
      </c>
      <c r="I92" s="131">
        <f>IF(NOT(ISBLANK($B92)),VLOOKUP($B92,specdata,2,FALSE()),"")</f>
        <v>1</v>
      </c>
      <c r="J92" s="131">
        <f>VLOOKUP(G92,AvailabilityData,2,FALSE())</f>
        <v>0</v>
      </c>
      <c r="K92" s="131">
        <f>I92*J92</f>
        <v>0</v>
      </c>
      <c r="L92" s="118">
        <v>1</v>
      </c>
    </row>
    <row r="93" spans="1:12" ht="30" customHeight="1" x14ac:dyDescent="0.3">
      <c r="A93" s="132" t="str">
        <f>IF(L93=1,"Paging-"&amp;TEXT(COUNTIF($L$3:L93, "1"), "0"), "")</f>
        <v>Paging-81</v>
      </c>
      <c r="B93" s="169" t="s">
        <v>43</v>
      </c>
      <c r="C93" s="273" t="s">
        <v>167</v>
      </c>
      <c r="D93" s="327"/>
      <c r="E93" s="175"/>
      <c r="F93" s="176"/>
      <c r="G93" s="137" t="s">
        <v>101</v>
      </c>
      <c r="H93" s="525"/>
      <c r="I93" s="131">
        <f>IF(NOT(ISBLANK($B93)),VLOOKUP($B93,specdata,2,FALSE()),"")</f>
        <v>1</v>
      </c>
      <c r="J93" s="131">
        <f>VLOOKUP(G93,AvailabilityData,2,FALSE())</f>
        <v>0</v>
      </c>
      <c r="K93" s="131">
        <f>I93*J93</f>
        <v>0</v>
      </c>
      <c r="L93" s="118">
        <v>1</v>
      </c>
    </row>
    <row r="94" spans="1:12" x14ac:dyDescent="0.3">
      <c r="A94" s="448"/>
      <c r="B94" s="126"/>
      <c r="C94" s="243" t="s">
        <v>168</v>
      </c>
      <c r="D94" s="130"/>
      <c r="E94" s="130"/>
      <c r="F94" s="130"/>
      <c r="G94" s="849"/>
      <c r="I94" s="131"/>
      <c r="J94" s="131"/>
      <c r="K94" s="131"/>
    </row>
    <row r="95" spans="1:12" ht="30" customHeight="1" x14ac:dyDescent="0.3">
      <c r="A95" s="132" t="str">
        <f>IF(L95=1,"Paging-"&amp;TEXT(COUNTIF($L$3:L95, "1"), "0"), "")</f>
        <v>Paging-82</v>
      </c>
      <c r="B95" s="183" t="s">
        <v>43</v>
      </c>
      <c r="C95" s="278" t="s">
        <v>170</v>
      </c>
      <c r="D95" s="328"/>
      <c r="E95" s="175"/>
      <c r="F95" s="176"/>
      <c r="G95" s="176" t="s">
        <v>101</v>
      </c>
      <c r="H95" s="525"/>
      <c r="I95" s="131">
        <f>IF(NOT(ISBLANK($B95)),VLOOKUP($B95,specdata,2,FALSE()),"")</f>
        <v>1</v>
      </c>
      <c r="J95" s="131">
        <f>VLOOKUP(G95,AvailabilityData,2,FALSE())</f>
        <v>0</v>
      </c>
      <c r="K95" s="131">
        <f>I95*J95</f>
        <v>0</v>
      </c>
      <c r="L95" s="118">
        <v>1</v>
      </c>
    </row>
    <row r="96" spans="1:12" ht="30" customHeight="1" x14ac:dyDescent="0.3">
      <c r="A96" s="132" t="str">
        <f>IF(L96=1,"Paging-"&amp;TEXT(COUNTIF($L$3:L96, "1"), "0"), "")</f>
        <v>Paging-83</v>
      </c>
      <c r="B96" s="644" t="s">
        <v>43</v>
      </c>
      <c r="C96" s="154" t="s">
        <v>171</v>
      </c>
      <c r="D96" s="326"/>
      <c r="E96" s="175"/>
      <c r="F96" s="176"/>
      <c r="G96" s="176" t="s">
        <v>101</v>
      </c>
      <c r="H96" s="525"/>
      <c r="I96" s="131">
        <f>IF(NOT(ISBLANK($B96)),VLOOKUP($B96,specdata,2,FALSE()),"")</f>
        <v>1</v>
      </c>
      <c r="J96" s="131">
        <f>VLOOKUP(G96,AvailabilityData,2,FALSE())</f>
        <v>0</v>
      </c>
      <c r="K96" s="131">
        <f>I96*J96</f>
        <v>0</v>
      </c>
      <c r="L96" s="118">
        <v>1</v>
      </c>
    </row>
    <row r="97" spans="1:12" ht="30" customHeight="1" x14ac:dyDescent="0.3">
      <c r="A97" s="132" t="str">
        <f>IF(L97=1,"Paging-"&amp;TEXT(COUNTIF($L$3:L97, "1"), "0"), "")</f>
        <v>Paging-84</v>
      </c>
      <c r="B97" s="644" t="s">
        <v>43</v>
      </c>
      <c r="C97" s="154" t="s">
        <v>172</v>
      </c>
      <c r="D97" s="326"/>
      <c r="E97" s="175"/>
      <c r="F97" s="176"/>
      <c r="G97" s="176" t="s">
        <v>101</v>
      </c>
      <c r="H97" s="525"/>
      <c r="I97" s="131">
        <f>IF(NOT(ISBLANK($B97)),VLOOKUP($B97,specdata,2,FALSE()),"")</f>
        <v>1</v>
      </c>
      <c r="J97" s="131">
        <f>VLOOKUP(G97,AvailabilityData,2,FALSE())</f>
        <v>0</v>
      </c>
      <c r="K97" s="131">
        <f>I97*J97</f>
        <v>0</v>
      </c>
      <c r="L97" s="118">
        <v>1</v>
      </c>
    </row>
    <row r="98" spans="1:12" ht="30" customHeight="1" x14ac:dyDescent="0.3">
      <c r="A98" s="132" t="str">
        <f>IF(L98=1,"Paging-"&amp;TEXT(COUNTIF($L$3:L98, "1"), "0"), "")</f>
        <v>Paging-85</v>
      </c>
      <c r="B98" s="727" t="s">
        <v>43</v>
      </c>
      <c r="C98" s="273" t="s">
        <v>173</v>
      </c>
      <c r="D98" s="327"/>
      <c r="E98" s="175"/>
      <c r="F98" s="176"/>
      <c r="G98" s="137" t="s">
        <v>101</v>
      </c>
      <c r="I98" s="131">
        <f>IF(NOT(ISBLANK($B98)),VLOOKUP($B98,specdata,2,FALSE()),"")</f>
        <v>1</v>
      </c>
      <c r="J98" s="131">
        <f>VLOOKUP(G98,AvailabilityData,2,FALSE())</f>
        <v>0</v>
      </c>
      <c r="K98" s="131">
        <f>I98*J98</f>
        <v>0</v>
      </c>
      <c r="L98" s="118">
        <v>1</v>
      </c>
    </row>
    <row r="99" spans="1:12" ht="22.5" customHeight="1" x14ac:dyDescent="0.3">
      <c r="A99" s="448"/>
      <c r="B99" s="126"/>
      <c r="C99" s="243" t="s">
        <v>174</v>
      </c>
      <c r="D99" s="194"/>
      <c r="E99" s="130"/>
      <c r="F99" s="130"/>
      <c r="G99" s="849"/>
      <c r="H99" s="525"/>
      <c r="I99" s="131"/>
      <c r="J99" s="131"/>
      <c r="K99" s="131"/>
    </row>
    <row r="100" spans="1:12" ht="30" customHeight="1" x14ac:dyDescent="0.3">
      <c r="A100" s="132" t="str">
        <f>IF(L100=1,"Paging-"&amp;TEXT(COUNTIF($L$3:L100, "1"), "0"), "")</f>
        <v>Paging-86</v>
      </c>
      <c r="B100" s="183" t="s">
        <v>43</v>
      </c>
      <c r="C100" s="269" t="s">
        <v>1105</v>
      </c>
      <c r="D100" s="185"/>
      <c r="E100" s="175"/>
      <c r="F100" s="176"/>
      <c r="G100" s="176" t="s">
        <v>101</v>
      </c>
      <c r="H100" s="525"/>
      <c r="I100" s="131">
        <f>IF(NOT(ISBLANK($B100)),VLOOKUP($B100,specdata,2,FALSE()),"")</f>
        <v>1</v>
      </c>
      <c r="J100" s="131">
        <f>VLOOKUP(G100,AvailabilityData,2,FALSE())</f>
        <v>0</v>
      </c>
      <c r="K100" s="131">
        <f>I100*J100</f>
        <v>0</v>
      </c>
      <c r="L100" s="118">
        <v>1</v>
      </c>
    </row>
    <row r="101" spans="1:12" ht="46.8" x14ac:dyDescent="0.3">
      <c r="A101" s="132" t="str">
        <f>IF(L101=1,"Paging-"&amp;TEXT(COUNTIF($L$3:L101, "1"), "0"), "")</f>
        <v>Paging-87</v>
      </c>
      <c r="B101" s="133" t="s">
        <v>43</v>
      </c>
      <c r="C101" s="134" t="s">
        <v>193</v>
      </c>
      <c r="D101" s="138"/>
      <c r="E101" s="175"/>
      <c r="F101" s="176"/>
      <c r="G101" s="176" t="s">
        <v>101</v>
      </c>
      <c r="H101" s="525"/>
      <c r="I101" s="131">
        <f>IF(NOT(ISBLANK($B101)),VLOOKUP($B101,specdata,2,FALSE()),"")</f>
        <v>1</v>
      </c>
      <c r="J101" s="131">
        <f>VLOOKUP(G101,AvailabilityData,2,FALSE())</f>
        <v>0</v>
      </c>
      <c r="K101" s="131">
        <f>I101*J101</f>
        <v>0</v>
      </c>
      <c r="L101" s="118">
        <v>1</v>
      </c>
    </row>
    <row r="102" spans="1:12" ht="46.8" x14ac:dyDescent="0.3">
      <c r="A102" s="132" t="str">
        <f>IF(L102=1,"Paging-"&amp;TEXT(COUNTIF($L$3:L102, "1"), "0"), "")</f>
        <v>Paging-88</v>
      </c>
      <c r="B102" s="133" t="s">
        <v>43</v>
      </c>
      <c r="C102" s="134" t="s">
        <v>1106</v>
      </c>
      <c r="D102" s="326"/>
      <c r="E102" s="168"/>
      <c r="F102" s="137"/>
      <c r="G102" s="137" t="s">
        <v>101</v>
      </c>
      <c r="H102" s="525"/>
      <c r="I102" s="131">
        <f>IF(NOT(ISBLANK($B102)),VLOOKUP($B102,specdata,2,FALSE()),"")</f>
        <v>1</v>
      </c>
      <c r="J102" s="131">
        <f>VLOOKUP(G102,AvailabilityData,2,FALSE())</f>
        <v>0</v>
      </c>
      <c r="K102" s="131">
        <f>I102*J102</f>
        <v>0</v>
      </c>
      <c r="L102" s="118">
        <v>1</v>
      </c>
    </row>
    <row r="103" spans="1:12" ht="30" customHeight="1" x14ac:dyDescent="0.3">
      <c r="D103" s="355"/>
    </row>
    <row r="104" spans="1:12" ht="30" customHeight="1" x14ac:dyDescent="0.3">
      <c r="D104" s="355"/>
      <c r="H104" s="525"/>
    </row>
    <row r="105" spans="1:12" ht="30" customHeight="1" x14ac:dyDescent="0.3">
      <c r="D105" s="355"/>
      <c r="H105" s="525"/>
    </row>
    <row r="106" spans="1:12" ht="30" customHeight="1" x14ac:dyDescent="0.3">
      <c r="D106" s="355"/>
      <c r="H106" s="525"/>
    </row>
    <row r="107" spans="1:12" ht="30" customHeight="1" x14ac:dyDescent="0.3">
      <c r="D107" s="355"/>
    </row>
    <row r="108" spans="1:12" ht="30" customHeight="1" x14ac:dyDescent="0.3">
      <c r="D108" s="355"/>
    </row>
    <row r="109" spans="1:12" ht="30" customHeight="1" x14ac:dyDescent="0.3">
      <c r="D109" s="355"/>
    </row>
    <row r="110" spans="1:12" ht="30" customHeight="1" x14ac:dyDescent="0.3">
      <c r="D110" s="262"/>
    </row>
    <row r="111" spans="1:12" ht="30" customHeight="1" x14ac:dyDescent="0.3">
      <c r="D111" s="262"/>
    </row>
    <row r="112" spans="1:12" ht="30" customHeight="1" x14ac:dyDescent="0.3">
      <c r="D112" s="262"/>
    </row>
    <row r="113" spans="4:4" ht="30" customHeight="1" x14ac:dyDescent="0.3">
      <c r="D113" s="262"/>
    </row>
    <row r="114" spans="4:4" ht="30" customHeight="1" x14ac:dyDescent="0.3">
      <c r="D114" s="355"/>
    </row>
    <row r="115" spans="4:4" ht="30" customHeight="1" x14ac:dyDescent="0.3">
      <c r="D115" s="355"/>
    </row>
    <row r="116" spans="4:4" ht="30" customHeight="1" x14ac:dyDescent="0.3">
      <c r="D116" s="355"/>
    </row>
    <row r="117" spans="4:4" ht="30" customHeight="1" x14ac:dyDescent="0.3">
      <c r="D117" s="355"/>
    </row>
    <row r="118" spans="4:4" ht="30" customHeight="1" x14ac:dyDescent="0.3">
      <c r="D118" s="355"/>
    </row>
    <row r="119" spans="4:4" ht="30" customHeight="1" x14ac:dyDescent="0.3">
      <c r="D119" s="355"/>
    </row>
    <row r="120" spans="4:4" ht="30" customHeight="1" x14ac:dyDescent="0.3">
      <c r="D120" s="355"/>
    </row>
    <row r="121" spans="4:4" ht="30" customHeight="1" x14ac:dyDescent="0.3">
      <c r="D121" s="355"/>
    </row>
    <row r="122" spans="4:4" ht="30" customHeight="1" x14ac:dyDescent="0.3"/>
    <row r="123" spans="4:4" ht="30" customHeight="1" x14ac:dyDescent="0.3"/>
    <row r="124" spans="4:4" ht="30" customHeight="1" x14ac:dyDescent="0.3"/>
    <row r="125" spans="4:4" ht="30" customHeight="1" x14ac:dyDescent="0.3"/>
    <row r="126" spans="4:4" ht="30" customHeight="1" x14ac:dyDescent="0.3"/>
    <row r="127" spans="4:4" ht="30" customHeight="1" x14ac:dyDescent="0.3"/>
    <row r="128" spans="4:4"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45"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59.25" customHeight="1" x14ac:dyDescent="0.3"/>
  </sheetData>
  <sheetProtection algorithmName="SHA-512" hashValue="mXHzsSDtwKP2k7F5eE2WuLc4gHapgBrqmXIm1xdSqHlhmzhVgWsAurAtNcoW5/W/YVIvBePy166OqaT6tU73eA==" saltValue="s1kwINNs0Qc6OjMjnUzs/w==" spinCount="100000" sheet="1" objects="1" scenarios="1"/>
  <mergeCells count="1">
    <mergeCell ref="O3:Q6"/>
  </mergeCells>
  <conditionalFormatting sqref="B1:B1048576">
    <cfRule type="cellIs" dxfId="127" priority="3" operator="equal">
      <formula>"Informational"</formula>
    </cfRule>
    <cfRule type="cellIs" dxfId="126" priority="4" operator="equal">
      <formula>"Not Needed"</formula>
    </cfRule>
    <cfRule type="cellIs" dxfId="125" priority="5" operator="equal">
      <formula>"Extremely Advantageous"</formula>
    </cfRule>
    <cfRule type="cellIs" dxfId="124" priority="6" operator="equal">
      <formula>"Critical"</formula>
    </cfRule>
  </conditionalFormatting>
  <conditionalFormatting sqref="B3:B41">
    <cfRule type="cellIs" dxfId="123" priority="15" operator="equal">
      <formula>"Mandatory"</formula>
    </cfRule>
  </conditionalFormatting>
  <conditionalFormatting sqref="B89">
    <cfRule type="cellIs" dxfId="122" priority="2" operator="equal">
      <formula>"Mandatory"</formula>
    </cfRule>
  </conditionalFormatting>
  <conditionalFormatting sqref="G1:G1048576">
    <cfRule type="cellIs" dxfId="121" priority="7" operator="equal">
      <formula>"Exception"</formula>
    </cfRule>
  </conditionalFormatting>
  <conditionalFormatting sqref="G3:G41">
    <cfRule type="cellIs" dxfId="120" priority="16" operator="equal">
      <formula>"Select from Drop Down List"</formula>
    </cfRule>
  </conditionalFormatting>
  <conditionalFormatting sqref="G43:G51">
    <cfRule type="cellIs" dxfId="119" priority="14" operator="equal">
      <formula>"Select from Drop Down List"</formula>
    </cfRule>
  </conditionalFormatting>
  <conditionalFormatting sqref="G53:G65">
    <cfRule type="cellIs" dxfId="118" priority="13" operator="equal">
      <formula>"Select from Drop Down List"</formula>
    </cfRule>
  </conditionalFormatting>
  <conditionalFormatting sqref="G67:G81">
    <cfRule type="cellIs" dxfId="117" priority="12" operator="equal">
      <formula>"Select from Drop Down List"</formula>
    </cfRule>
  </conditionalFormatting>
  <conditionalFormatting sqref="G83:G87">
    <cfRule type="cellIs" dxfId="116" priority="11" operator="equal">
      <formula>"Select from Drop Down List"</formula>
    </cfRule>
  </conditionalFormatting>
  <conditionalFormatting sqref="G89 G91:G93">
    <cfRule type="cellIs" dxfId="115" priority="10" operator="equal">
      <formula>"Select from Drop Down List"</formula>
    </cfRule>
  </conditionalFormatting>
  <conditionalFormatting sqref="G95:G98">
    <cfRule type="cellIs" dxfId="114" priority="9" operator="equal">
      <formula>"Select from Drop Down List"</formula>
    </cfRule>
  </conditionalFormatting>
  <conditionalFormatting sqref="G100:G102">
    <cfRule type="cellIs" dxfId="113" priority="8" operator="equal">
      <formula>"Select from Drop Down List"</formula>
    </cfRule>
  </conditionalFormatting>
  <dataValidations count="2">
    <dataValidation type="list" allowBlank="1" showInputMessage="1" showErrorMessage="1" sqref="G100:G102 G43:G51 G53:G65 G67:G81 G83:G87 G89 G91:G93 G95:G98 G3:G7 G9:G17 G19:G22 G24:G28 G30:G41" xr:uid="{00000000-0002-0000-2600-000000000000}">
      <formula1>Availability</formula1>
      <formula2>0</formula2>
    </dataValidation>
    <dataValidation type="list" allowBlank="1" showInputMessage="1" showErrorMessage="1" errorTitle="Invalid specification type" error="Please enter a Specification type from the drop-down list." sqref="B3:B41 B89" xr:uid="{00000000-0002-0000-2600-000001000000}">
      <formula1>SpecType</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D8E5B1"/>
    <pageSetUpPr fitToPage="1"/>
  </sheetPr>
  <dimension ref="A1:P49"/>
  <sheetViews>
    <sheetView topLeftCell="B1" zoomScaleNormal="100" zoomScalePageLayoutView="70" workbookViewId="0">
      <selection activeCell="G1" sqref="G1"/>
    </sheetView>
  </sheetViews>
  <sheetFormatPr defaultColWidth="9" defaultRowHeight="15.6" x14ac:dyDescent="0.3"/>
  <cols>
    <col min="1" max="1" width="12.59765625" style="113" customWidth="1"/>
    <col min="2" max="2" width="14.59765625" style="113" customWidth="1"/>
    <col min="3" max="3" width="65.59765625" style="261" customWidth="1"/>
    <col min="4" max="4" width="65.59765625" style="115" customWidth="1"/>
    <col min="5" max="6" width="8.8984375" style="115" hidden="1" customWidth="1"/>
    <col min="7" max="7" width="30.59765625" style="115" customWidth="1"/>
    <col min="8" max="11" width="8.8984375" style="131" customWidth="1"/>
    <col min="12" max="16384" width="9" style="115"/>
  </cols>
  <sheetData>
    <row r="1" spans="1:16" s="124" customFormat="1" ht="64.2" x14ac:dyDescent="0.25">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c r="L1" s="123" t="s">
        <v>104</v>
      </c>
    </row>
    <row r="2" spans="1:16" s="118" customFormat="1" x14ac:dyDescent="0.3">
      <c r="A2" s="125" t="s">
        <v>1107</v>
      </c>
      <c r="B2" s="445"/>
      <c r="C2" s="459"/>
      <c r="D2" s="447"/>
      <c r="E2" s="447"/>
      <c r="F2" s="447"/>
      <c r="G2" s="447"/>
      <c r="H2" s="131">
        <f>COUNTA(B3:B20)</f>
        <v>18</v>
      </c>
      <c r="I2" s="117"/>
      <c r="J2" s="117"/>
      <c r="K2" s="131">
        <f>SUM(K3:K20)</f>
        <v>0</v>
      </c>
    </row>
    <row r="3" spans="1:16" ht="30" customHeight="1" x14ac:dyDescent="0.3">
      <c r="A3" s="259" t="str">
        <f>IF(L3=1,"PIC-"&amp;TEXT(COUNTIF($L$3:L3, "1"), "0"), "")</f>
        <v>PIC-1</v>
      </c>
      <c r="B3" s="450" t="s">
        <v>42</v>
      </c>
      <c r="C3" s="164" t="s">
        <v>1108</v>
      </c>
      <c r="D3" s="185"/>
      <c r="E3" s="186"/>
      <c r="F3" s="166"/>
      <c r="G3" s="137" t="s">
        <v>101</v>
      </c>
      <c r="H3" s="131">
        <f>COUNTIF(G:G,"=Select from Drop Down List")</f>
        <v>18</v>
      </c>
      <c r="I3" s="131">
        <f t="shared" ref="I3:I20" si="0">IF(NOT(ISBLANK($B3)),VLOOKUP($B3,specdata,2,FALSE()),"")</f>
        <v>5</v>
      </c>
      <c r="J3" s="131">
        <f t="shared" ref="J3:J20" si="1">VLOOKUP(G3,AvailabilityData,2,FALSE())</f>
        <v>0</v>
      </c>
      <c r="K3" s="131">
        <f t="shared" ref="K3:K20" si="2">I3*J3</f>
        <v>0</v>
      </c>
      <c r="L3" s="115">
        <v>1</v>
      </c>
      <c r="N3" s="858" t="s">
        <v>107</v>
      </c>
      <c r="O3" s="858"/>
      <c r="P3" s="858"/>
    </row>
    <row r="4" spans="1:16" ht="30" customHeight="1" x14ac:dyDescent="0.3">
      <c r="A4" s="259" t="str">
        <f>IF(L4=1,"PIC-"&amp;TEXT(COUNTIF($L$3:L4, "1"), "0"), "")</f>
        <v>PIC-2</v>
      </c>
      <c r="B4" s="183" t="s">
        <v>43</v>
      </c>
      <c r="C4" s="530" t="s">
        <v>1109</v>
      </c>
      <c r="D4" s="461"/>
      <c r="E4" s="186"/>
      <c r="F4" s="166"/>
      <c r="G4" s="137" t="s">
        <v>101</v>
      </c>
      <c r="H4" s="131">
        <f>COUNTIF(G:G,"=Function Available")</f>
        <v>0</v>
      </c>
      <c r="I4" s="131">
        <f t="shared" si="0"/>
        <v>1</v>
      </c>
      <c r="J4" s="131">
        <f t="shared" si="1"/>
        <v>0</v>
      </c>
      <c r="K4" s="131">
        <f t="shared" si="2"/>
        <v>0</v>
      </c>
      <c r="L4" s="115">
        <v>1</v>
      </c>
      <c r="N4" s="858"/>
      <c r="O4" s="858"/>
      <c r="P4" s="858"/>
    </row>
    <row r="5" spans="1:16" ht="31.2" x14ac:dyDescent="0.3">
      <c r="A5" s="259" t="str">
        <f>IF(L5=1,"PIC-"&amp;TEXT(COUNTIF($L$3:L5, "1"), "0"), "")</f>
        <v>PIC-3</v>
      </c>
      <c r="B5" s="183" t="s">
        <v>43</v>
      </c>
      <c r="C5" s="164" t="s">
        <v>1110</v>
      </c>
      <c r="D5" s="461"/>
      <c r="E5" s="186"/>
      <c r="F5" s="166"/>
      <c r="G5" s="137" t="s">
        <v>101</v>
      </c>
      <c r="H5" s="131">
        <f>COUNTIF(F:G,"=Function Not Available")</f>
        <v>0</v>
      </c>
      <c r="I5" s="131">
        <f t="shared" si="0"/>
        <v>1</v>
      </c>
      <c r="J5" s="131">
        <f t="shared" si="1"/>
        <v>0</v>
      </c>
      <c r="K5" s="131">
        <f t="shared" si="2"/>
        <v>0</v>
      </c>
      <c r="L5" s="115">
        <v>1</v>
      </c>
      <c r="N5" s="858"/>
      <c r="O5" s="858"/>
      <c r="P5" s="858"/>
    </row>
    <row r="6" spans="1:16" ht="31.2" x14ac:dyDescent="0.3">
      <c r="A6" s="259" t="str">
        <f>IF(L6=1,"PIC-"&amp;TEXT(COUNTIF($L$3:L6, "1"), "0"), "")</f>
        <v>PIC-4</v>
      </c>
      <c r="B6" s="183" t="s">
        <v>43</v>
      </c>
      <c r="C6" s="164" t="s">
        <v>1111</v>
      </c>
      <c r="D6" s="461"/>
      <c r="E6" s="186"/>
      <c r="F6" s="166"/>
      <c r="G6" s="137" t="s">
        <v>101</v>
      </c>
      <c r="H6" s="131">
        <f>COUNTIF(G:G,"=Exception")</f>
        <v>0</v>
      </c>
      <c r="I6" s="131">
        <f t="shared" si="0"/>
        <v>1</v>
      </c>
      <c r="J6" s="131">
        <f t="shared" si="1"/>
        <v>0</v>
      </c>
      <c r="K6" s="131">
        <f t="shared" si="2"/>
        <v>0</v>
      </c>
      <c r="L6" s="115">
        <v>1</v>
      </c>
      <c r="N6" s="858"/>
      <c r="O6" s="858"/>
      <c r="P6" s="858"/>
    </row>
    <row r="7" spans="1:16" ht="31.2" x14ac:dyDescent="0.3">
      <c r="A7" s="259" t="str">
        <f>IF(L7=1,"PIC-"&amp;TEXT(COUNTIF($L$3:L7, "1"), "0"), "")</f>
        <v>PIC-5</v>
      </c>
      <c r="B7" s="183" t="s">
        <v>43</v>
      </c>
      <c r="C7" s="164" t="s">
        <v>1112</v>
      </c>
      <c r="D7" s="461"/>
      <c r="E7" s="186"/>
      <c r="F7" s="166"/>
      <c r="G7" s="137" t="s">
        <v>101</v>
      </c>
      <c r="H7" s="140">
        <f>COUNTIFS(B:B,"=Critical",G:G,"=Select from Drop Down List")</f>
        <v>1</v>
      </c>
      <c r="I7" s="131">
        <f t="shared" si="0"/>
        <v>1</v>
      </c>
      <c r="J7" s="131">
        <f t="shared" si="1"/>
        <v>0</v>
      </c>
      <c r="K7" s="131">
        <f t="shared" si="2"/>
        <v>0</v>
      </c>
      <c r="L7" s="115">
        <v>1</v>
      </c>
    </row>
    <row r="8" spans="1:16" ht="31.2" x14ac:dyDescent="0.3">
      <c r="A8" s="259" t="str">
        <f>IF(L8=1,"PIC-"&amp;TEXT(COUNTIF($L$3:L8, "1"), "0"), "")</f>
        <v>PIC-6</v>
      </c>
      <c r="B8" s="183" t="s">
        <v>43</v>
      </c>
      <c r="C8" s="164" t="s">
        <v>1113</v>
      </c>
      <c r="D8" s="461"/>
      <c r="E8" s="186"/>
      <c r="F8" s="166"/>
      <c r="G8" s="137" t="s">
        <v>101</v>
      </c>
      <c r="H8" s="140">
        <f>COUNTIFS(B:B,"=Critical",G:G,"=Function Available")</f>
        <v>0</v>
      </c>
      <c r="I8" s="131">
        <f t="shared" si="0"/>
        <v>1</v>
      </c>
      <c r="J8" s="131">
        <f t="shared" si="1"/>
        <v>0</v>
      </c>
      <c r="K8" s="131">
        <f t="shared" si="2"/>
        <v>0</v>
      </c>
      <c r="L8" s="115">
        <v>1</v>
      </c>
    </row>
    <row r="9" spans="1:16" ht="31.2" x14ac:dyDescent="0.3">
      <c r="A9" s="259" t="str">
        <f>IF(L9=1,"PIC-"&amp;TEXT(COUNTIF($L$3:L9, "1"), "0"), "")</f>
        <v>PIC-7</v>
      </c>
      <c r="B9" s="183" t="s">
        <v>43</v>
      </c>
      <c r="C9" s="164" t="s">
        <v>1114</v>
      </c>
      <c r="D9" s="461"/>
      <c r="E9" s="186"/>
      <c r="F9" s="166"/>
      <c r="G9" s="137" t="s">
        <v>101</v>
      </c>
      <c r="H9" s="140">
        <f>COUNTIFS(B:B,"=Critical",G:G,"=Function Not Available")</f>
        <v>0</v>
      </c>
      <c r="I9" s="131">
        <f t="shared" si="0"/>
        <v>1</v>
      </c>
      <c r="J9" s="131">
        <f t="shared" si="1"/>
        <v>0</v>
      </c>
      <c r="K9" s="131">
        <f t="shared" si="2"/>
        <v>0</v>
      </c>
      <c r="L9" s="115">
        <v>1</v>
      </c>
    </row>
    <row r="10" spans="1:16" ht="31.2" x14ac:dyDescent="0.3">
      <c r="A10" s="259" t="str">
        <f>IF(L10=1,"PIC-"&amp;TEXT(COUNTIF($L$3:L10, "1"), "0"), "")</f>
        <v>PIC-8</v>
      </c>
      <c r="B10" s="183" t="s">
        <v>43</v>
      </c>
      <c r="C10" s="164" t="s">
        <v>1115</v>
      </c>
      <c r="D10" s="461"/>
      <c r="E10" s="186"/>
      <c r="F10" s="166"/>
      <c r="G10" s="137" t="s">
        <v>101</v>
      </c>
      <c r="H10" s="140">
        <f>COUNTIFS(B:B,"=Critical",G:G,"=Exception")</f>
        <v>0</v>
      </c>
      <c r="I10" s="131">
        <f t="shared" si="0"/>
        <v>1</v>
      </c>
      <c r="J10" s="131">
        <f t="shared" si="1"/>
        <v>0</v>
      </c>
      <c r="K10" s="131">
        <f t="shared" si="2"/>
        <v>0</v>
      </c>
      <c r="L10" s="115">
        <v>1</v>
      </c>
    </row>
    <row r="11" spans="1:16" ht="31.2" x14ac:dyDescent="0.3">
      <c r="A11" s="259" t="str">
        <f>IF(L11=1,"PIC-"&amp;TEXT(COUNTIF($L$3:L11, "1"), "0"), "")</f>
        <v>PIC-9</v>
      </c>
      <c r="B11" s="183" t="s">
        <v>43</v>
      </c>
      <c r="C11" s="530" t="s">
        <v>1116</v>
      </c>
      <c r="D11" s="461"/>
      <c r="E11" s="186"/>
      <c r="F11" s="166"/>
      <c r="G11" s="137" t="s">
        <v>101</v>
      </c>
      <c r="H11" s="146">
        <f>COUNTIFS(B:B,"=Important",G:G,"=Select from Drop Down List")</f>
        <v>17</v>
      </c>
      <c r="I11" s="131">
        <f t="shared" si="0"/>
        <v>1</v>
      </c>
      <c r="J11" s="131">
        <f t="shared" si="1"/>
        <v>0</v>
      </c>
      <c r="K11" s="131">
        <f t="shared" si="2"/>
        <v>0</v>
      </c>
      <c r="L11" s="115">
        <v>1</v>
      </c>
    </row>
    <row r="12" spans="1:16" ht="31.2" x14ac:dyDescent="0.3">
      <c r="A12" s="259" t="str">
        <f>IF(L12=1,"PIC-"&amp;TEXT(COUNTIF($L$3:L12, "1"), "0"), "")</f>
        <v>PIC-10</v>
      </c>
      <c r="B12" s="183" t="s">
        <v>43</v>
      </c>
      <c r="C12" s="164" t="s">
        <v>1117</v>
      </c>
      <c r="D12" s="461"/>
      <c r="E12" s="186"/>
      <c r="F12" s="166"/>
      <c r="G12" s="137" t="s">
        <v>101</v>
      </c>
      <c r="H12" s="146">
        <f>COUNTIFS(B:B,"=Important",G:G,"=Function Available")</f>
        <v>0</v>
      </c>
      <c r="I12" s="131">
        <f t="shared" si="0"/>
        <v>1</v>
      </c>
      <c r="J12" s="131">
        <f t="shared" si="1"/>
        <v>0</v>
      </c>
      <c r="K12" s="131">
        <f t="shared" si="2"/>
        <v>0</v>
      </c>
      <c r="L12" s="115">
        <v>1</v>
      </c>
    </row>
    <row r="13" spans="1:16" ht="31.2" x14ac:dyDescent="0.3">
      <c r="A13" s="259" t="str">
        <f>IF(L13=1,"PIC-"&amp;TEXT(COUNTIF($L$3:L13, "1"), "0"), "")</f>
        <v>PIC-11</v>
      </c>
      <c r="B13" s="183" t="s">
        <v>43</v>
      </c>
      <c r="C13" s="530" t="s">
        <v>1118</v>
      </c>
      <c r="D13" s="461"/>
      <c r="E13" s="186"/>
      <c r="F13" s="166"/>
      <c r="G13" s="137" t="s">
        <v>101</v>
      </c>
      <c r="H13" s="146">
        <f>COUNTIFS(B:B,"=Important",G:G,"=Function Not Available")</f>
        <v>0</v>
      </c>
      <c r="I13" s="131">
        <f t="shared" si="0"/>
        <v>1</v>
      </c>
      <c r="J13" s="131">
        <f t="shared" si="1"/>
        <v>0</v>
      </c>
      <c r="K13" s="131">
        <f t="shared" si="2"/>
        <v>0</v>
      </c>
      <c r="L13" s="115">
        <v>1</v>
      </c>
    </row>
    <row r="14" spans="1:16" ht="30" customHeight="1" x14ac:dyDescent="0.3">
      <c r="A14" s="259" t="str">
        <f>IF(L14=1,"PIC-"&amp;TEXT(COUNTIF($L$3:L14, "1"), "0"), "")</f>
        <v>PIC-12</v>
      </c>
      <c r="B14" s="183" t="s">
        <v>43</v>
      </c>
      <c r="C14" s="531" t="s">
        <v>1119</v>
      </c>
      <c r="D14" s="461"/>
      <c r="E14" s="186"/>
      <c r="F14" s="166"/>
      <c r="G14" s="137" t="s">
        <v>101</v>
      </c>
      <c r="H14" s="146">
        <f>COUNTIFS(B:B,"=Important",G:G,"=Exception")</f>
        <v>0</v>
      </c>
      <c r="I14" s="131">
        <f t="shared" si="0"/>
        <v>1</v>
      </c>
      <c r="J14" s="131">
        <f t="shared" si="1"/>
        <v>0</v>
      </c>
      <c r="K14" s="131">
        <f t="shared" si="2"/>
        <v>0</v>
      </c>
      <c r="L14" s="115">
        <v>1</v>
      </c>
    </row>
    <row r="15" spans="1:16" ht="30" customHeight="1" x14ac:dyDescent="0.3">
      <c r="A15" s="259" t="str">
        <f>IF(L15=1,"PIC-"&amp;TEXT(COUNTIF($L$3:L15, "1"), "0"), "")</f>
        <v>PIC-13</v>
      </c>
      <c r="B15" s="183" t="s">
        <v>43</v>
      </c>
      <c r="C15" s="530" t="s">
        <v>1120</v>
      </c>
      <c r="D15" s="461"/>
      <c r="E15" s="186"/>
      <c r="F15" s="166"/>
      <c r="G15" s="137" t="s">
        <v>101</v>
      </c>
      <c r="H15" s="147">
        <f>COUNTIFS(B:B,"=Informational",G:G,"=Select from Drop Down List")</f>
        <v>0</v>
      </c>
      <c r="I15" s="131">
        <f t="shared" si="0"/>
        <v>1</v>
      </c>
      <c r="J15" s="131">
        <f t="shared" si="1"/>
        <v>0</v>
      </c>
      <c r="K15" s="131">
        <f t="shared" si="2"/>
        <v>0</v>
      </c>
      <c r="L15" s="115">
        <v>1</v>
      </c>
    </row>
    <row r="16" spans="1:16" ht="30" customHeight="1" x14ac:dyDescent="0.3">
      <c r="A16" s="259" t="str">
        <f>IF(L16=1,"PIC-"&amp;TEXT(COUNTIF($L$3:L16, "1"), "0"), "")</f>
        <v>PIC-14</v>
      </c>
      <c r="B16" s="183" t="s">
        <v>43</v>
      </c>
      <c r="C16" s="134" t="s">
        <v>1121</v>
      </c>
      <c r="D16" s="461"/>
      <c r="E16" s="186"/>
      <c r="F16" s="166"/>
      <c r="G16" s="137" t="s">
        <v>101</v>
      </c>
      <c r="H16" s="147">
        <f>COUNTIFS(B:B,"=Informational",G:G,"=Function Available")</f>
        <v>0</v>
      </c>
      <c r="I16" s="131">
        <f t="shared" si="0"/>
        <v>1</v>
      </c>
      <c r="J16" s="131">
        <f t="shared" si="1"/>
        <v>0</v>
      </c>
      <c r="K16" s="131">
        <f t="shared" si="2"/>
        <v>0</v>
      </c>
      <c r="L16" s="115">
        <v>1</v>
      </c>
    </row>
    <row r="17" spans="1:12" ht="30" customHeight="1" x14ac:dyDescent="0.3">
      <c r="A17" s="259" t="str">
        <f>IF(L17=1,"PIC-"&amp;TEXT(COUNTIF($L$3:L17, "1"), "0"), "")</f>
        <v>PIC-15</v>
      </c>
      <c r="B17" s="183" t="s">
        <v>43</v>
      </c>
      <c r="C17" s="530" t="s">
        <v>1122</v>
      </c>
      <c r="D17" s="461"/>
      <c r="E17" s="186"/>
      <c r="F17" s="166"/>
      <c r="G17" s="137" t="s">
        <v>101</v>
      </c>
      <c r="H17" s="147">
        <f>COUNTIFS(B:B,"=Informational",G:G,"=Function Not Available")</f>
        <v>0</v>
      </c>
      <c r="I17" s="131">
        <f t="shared" si="0"/>
        <v>1</v>
      </c>
      <c r="J17" s="131">
        <f t="shared" si="1"/>
        <v>0</v>
      </c>
      <c r="K17" s="131">
        <f t="shared" si="2"/>
        <v>0</v>
      </c>
      <c r="L17" s="115">
        <v>1</v>
      </c>
    </row>
    <row r="18" spans="1:12" ht="30" customHeight="1" x14ac:dyDescent="0.3">
      <c r="A18" s="259" t="str">
        <f>IF(L18=1,"PIC-"&amp;TEXT(COUNTIF($L$3:L18, "1"), "0"), "")</f>
        <v>PIC-16</v>
      </c>
      <c r="B18" s="183" t="s">
        <v>43</v>
      </c>
      <c r="C18" s="530" t="s">
        <v>1123</v>
      </c>
      <c r="D18" s="461"/>
      <c r="E18" s="186"/>
      <c r="F18" s="166"/>
      <c r="G18" s="137" t="s">
        <v>101</v>
      </c>
      <c r="H18" s="147">
        <f>COUNTIFS(B:B,"=Informational",G:G,"=Exception")</f>
        <v>0</v>
      </c>
      <c r="I18" s="131">
        <f t="shared" si="0"/>
        <v>1</v>
      </c>
      <c r="J18" s="131">
        <f t="shared" si="1"/>
        <v>0</v>
      </c>
      <c r="K18" s="131">
        <f t="shared" si="2"/>
        <v>0</v>
      </c>
      <c r="L18" s="115">
        <v>1</v>
      </c>
    </row>
    <row r="19" spans="1:12" ht="30" customHeight="1" x14ac:dyDescent="0.3">
      <c r="A19" s="259" t="str">
        <f>IF(L19=1,"PIC-"&amp;TEXT(COUNTIF($L$3:L19, "1"), "0"), "")</f>
        <v>PIC-17</v>
      </c>
      <c r="B19" s="183" t="s">
        <v>43</v>
      </c>
      <c r="C19" s="134" t="s">
        <v>1124</v>
      </c>
      <c r="D19" s="461"/>
      <c r="E19" s="186"/>
      <c r="F19" s="166"/>
      <c r="G19" s="137" t="s">
        <v>101</v>
      </c>
      <c r="I19" s="131">
        <f t="shared" si="0"/>
        <v>1</v>
      </c>
      <c r="J19" s="131">
        <f t="shared" si="1"/>
        <v>0</v>
      </c>
      <c r="K19" s="131">
        <f t="shared" si="2"/>
        <v>0</v>
      </c>
      <c r="L19" s="115">
        <v>1</v>
      </c>
    </row>
    <row r="20" spans="1:12" ht="30" customHeight="1" x14ac:dyDescent="0.3">
      <c r="A20" s="259" t="str">
        <f>IF(L20=1,"PIC-"&amp;TEXT(COUNTIF($L$3:L20, "1"), "0"), "")</f>
        <v>PIC-18</v>
      </c>
      <c r="B20" s="183" t="s">
        <v>43</v>
      </c>
      <c r="C20" s="134" t="s">
        <v>1125</v>
      </c>
      <c r="D20" s="461"/>
      <c r="E20" s="186"/>
      <c r="F20" s="166"/>
      <c r="G20" s="137" t="s">
        <v>101</v>
      </c>
      <c r="I20" s="131">
        <f t="shared" si="0"/>
        <v>1</v>
      </c>
      <c r="J20" s="131">
        <f t="shared" si="1"/>
        <v>0</v>
      </c>
      <c r="K20" s="131">
        <f t="shared" si="2"/>
        <v>0</v>
      </c>
      <c r="L20" s="115">
        <v>1</v>
      </c>
    </row>
    <row r="24" spans="1:12" s="131" customFormat="1" x14ac:dyDescent="0.3">
      <c r="A24" s="113"/>
      <c r="B24" s="113"/>
      <c r="C24" s="261"/>
      <c r="D24" s="115"/>
      <c r="E24" s="115"/>
      <c r="F24" s="115"/>
      <c r="G24" s="115"/>
    </row>
    <row r="25" spans="1:12" s="131" customFormat="1" x14ac:dyDescent="0.3">
      <c r="A25" s="113"/>
      <c r="B25" s="113"/>
      <c r="C25" s="261"/>
      <c r="D25" s="115"/>
      <c r="E25" s="115"/>
      <c r="F25" s="115"/>
      <c r="G25" s="115"/>
    </row>
    <row r="26" spans="1:12" s="131" customFormat="1" x14ac:dyDescent="0.3">
      <c r="A26" s="113"/>
      <c r="B26" s="113"/>
      <c r="C26" s="261"/>
      <c r="D26" s="115"/>
      <c r="E26" s="115"/>
      <c r="F26" s="115"/>
      <c r="G26" s="115"/>
    </row>
    <row r="27" spans="1:12" s="131" customFormat="1" x14ac:dyDescent="0.3">
      <c r="A27" s="113"/>
      <c r="B27" s="113"/>
      <c r="C27" s="261"/>
      <c r="D27" s="115"/>
      <c r="E27" s="115"/>
      <c r="F27" s="115"/>
      <c r="G27" s="115"/>
    </row>
    <row r="28" spans="1:12" s="131" customFormat="1" x14ac:dyDescent="0.3">
      <c r="A28" s="113"/>
      <c r="B28" s="113"/>
      <c r="C28" s="261"/>
      <c r="D28" s="115"/>
      <c r="E28" s="115"/>
      <c r="F28" s="115"/>
      <c r="G28" s="115"/>
    </row>
    <row r="29" spans="1:12" s="131" customFormat="1" x14ac:dyDescent="0.3">
      <c r="A29" s="113"/>
      <c r="B29" s="113"/>
      <c r="C29" s="261"/>
      <c r="D29" s="115"/>
      <c r="E29" s="115"/>
      <c r="F29" s="115"/>
      <c r="G29" s="115"/>
    </row>
    <row r="30" spans="1:12" s="131" customFormat="1" x14ac:dyDescent="0.3">
      <c r="A30" s="113"/>
      <c r="B30" s="113"/>
      <c r="C30" s="261"/>
      <c r="D30" s="115"/>
      <c r="E30" s="115"/>
      <c r="F30" s="115"/>
      <c r="G30" s="115"/>
    </row>
    <row r="31" spans="1:12" s="131" customFormat="1" x14ac:dyDescent="0.3">
      <c r="A31" s="113"/>
      <c r="B31" s="113"/>
      <c r="C31" s="261"/>
      <c r="D31" s="115"/>
      <c r="E31" s="115"/>
      <c r="F31" s="115"/>
      <c r="G31" s="115"/>
    </row>
    <row r="32" spans="1:12" s="131" customFormat="1" x14ac:dyDescent="0.3">
      <c r="A32" s="113"/>
      <c r="B32" s="113"/>
      <c r="C32" s="261"/>
      <c r="D32" s="115"/>
      <c r="E32" s="115"/>
      <c r="F32" s="115"/>
      <c r="G32" s="115"/>
    </row>
    <row r="33" spans="1:7" s="131" customFormat="1" x14ac:dyDescent="0.3">
      <c r="A33" s="113"/>
      <c r="B33" s="113"/>
      <c r="C33" s="261"/>
      <c r="D33" s="115"/>
      <c r="E33" s="115"/>
      <c r="F33" s="115"/>
      <c r="G33" s="115"/>
    </row>
    <row r="34" spans="1:7" s="131" customFormat="1" x14ac:dyDescent="0.3">
      <c r="A34" s="113"/>
      <c r="B34" s="113"/>
      <c r="C34" s="261"/>
      <c r="D34" s="115"/>
      <c r="E34" s="115"/>
      <c r="F34" s="115"/>
      <c r="G34" s="115"/>
    </row>
    <row r="35" spans="1:7" s="131" customFormat="1" x14ac:dyDescent="0.3">
      <c r="A35" s="113"/>
      <c r="B35" s="113"/>
      <c r="C35" s="261"/>
      <c r="D35" s="115"/>
      <c r="E35" s="115"/>
      <c r="F35" s="115"/>
      <c r="G35" s="115"/>
    </row>
    <row r="36" spans="1:7" s="131" customFormat="1" x14ac:dyDescent="0.3">
      <c r="A36" s="113"/>
      <c r="B36" s="113"/>
      <c r="C36" s="261"/>
      <c r="D36" s="115"/>
      <c r="E36" s="115"/>
      <c r="F36" s="115"/>
      <c r="G36" s="115"/>
    </row>
    <row r="37" spans="1:7" s="131" customFormat="1" x14ac:dyDescent="0.3">
      <c r="A37" s="113"/>
      <c r="B37" s="113"/>
      <c r="C37" s="261"/>
      <c r="D37" s="115"/>
      <c r="E37" s="115"/>
      <c r="F37" s="115"/>
      <c r="G37" s="115"/>
    </row>
    <row r="38" spans="1:7" s="131" customFormat="1" x14ac:dyDescent="0.3">
      <c r="A38" s="113"/>
      <c r="B38" s="113"/>
      <c r="C38" s="261"/>
      <c r="D38" s="115"/>
      <c r="E38" s="115"/>
      <c r="F38" s="115"/>
      <c r="G38" s="115"/>
    </row>
    <row r="39" spans="1:7" s="131" customFormat="1" x14ac:dyDescent="0.3">
      <c r="A39" s="113"/>
      <c r="B39" s="113"/>
      <c r="C39" s="261"/>
      <c r="D39" s="115"/>
      <c r="E39" s="115"/>
      <c r="F39" s="115"/>
      <c r="G39" s="115"/>
    </row>
    <row r="40" spans="1:7" s="131" customFormat="1" x14ac:dyDescent="0.3">
      <c r="A40" s="113"/>
      <c r="B40" s="113"/>
      <c r="C40" s="261"/>
      <c r="D40" s="115"/>
      <c r="E40" s="115"/>
      <c r="F40" s="115"/>
      <c r="G40" s="115"/>
    </row>
    <row r="41" spans="1:7" s="131" customFormat="1" x14ac:dyDescent="0.3">
      <c r="A41" s="113"/>
      <c r="B41" s="113"/>
      <c r="C41" s="261"/>
      <c r="D41" s="115"/>
      <c r="E41" s="115"/>
      <c r="F41" s="115"/>
      <c r="G41" s="115"/>
    </row>
    <row r="42" spans="1:7" s="131" customFormat="1" x14ac:dyDescent="0.3">
      <c r="A42" s="113"/>
      <c r="B42" s="113"/>
      <c r="C42" s="261"/>
      <c r="D42" s="115"/>
      <c r="E42" s="115"/>
      <c r="F42" s="115"/>
      <c r="G42" s="115"/>
    </row>
    <row r="43" spans="1:7" s="131" customFormat="1" x14ac:dyDescent="0.3">
      <c r="A43" s="113"/>
      <c r="B43" s="113"/>
      <c r="C43" s="261"/>
      <c r="D43" s="115"/>
      <c r="E43" s="115"/>
      <c r="F43" s="115"/>
      <c r="G43" s="115"/>
    </row>
    <row r="44" spans="1:7" s="131" customFormat="1" x14ac:dyDescent="0.3">
      <c r="A44" s="113"/>
      <c r="B44" s="113"/>
      <c r="C44" s="261"/>
      <c r="D44" s="115"/>
      <c r="E44" s="115"/>
      <c r="F44" s="115"/>
      <c r="G44" s="115"/>
    </row>
    <row r="45" spans="1:7" s="131" customFormat="1" x14ac:dyDescent="0.3">
      <c r="A45" s="113"/>
      <c r="B45" s="113"/>
      <c r="C45" s="261"/>
      <c r="D45" s="115"/>
      <c r="E45" s="115"/>
      <c r="F45" s="115"/>
      <c r="G45" s="115"/>
    </row>
    <row r="46" spans="1:7" s="131" customFormat="1" x14ac:dyDescent="0.3">
      <c r="A46" s="113"/>
      <c r="B46" s="113"/>
      <c r="C46" s="261"/>
      <c r="D46" s="115"/>
      <c r="E46" s="115"/>
      <c r="F46" s="115"/>
      <c r="G46" s="115"/>
    </row>
    <row r="47" spans="1:7" s="131" customFormat="1" x14ac:dyDescent="0.3">
      <c r="A47" s="113"/>
      <c r="B47" s="113"/>
      <c r="C47" s="261"/>
      <c r="D47" s="115"/>
      <c r="E47" s="115"/>
      <c r="F47" s="115"/>
      <c r="G47" s="115"/>
    </row>
    <row r="48" spans="1:7" s="131" customFormat="1" x14ac:dyDescent="0.3">
      <c r="A48" s="113"/>
      <c r="B48" s="113"/>
      <c r="C48" s="261"/>
      <c r="D48" s="115"/>
      <c r="E48" s="115"/>
      <c r="F48" s="115"/>
      <c r="G48" s="115"/>
    </row>
    <row r="49" spans="1:7" s="131" customFormat="1" x14ac:dyDescent="0.3">
      <c r="A49" s="113"/>
      <c r="B49" s="113"/>
      <c r="C49" s="261"/>
      <c r="D49" s="115"/>
      <c r="E49" s="115"/>
      <c r="F49" s="115"/>
      <c r="G49" s="115"/>
    </row>
  </sheetData>
  <mergeCells count="1">
    <mergeCell ref="N3:P6"/>
  </mergeCells>
  <conditionalFormatting sqref="B1:B1048576">
    <cfRule type="cellIs" dxfId="112" priority="2" operator="equal">
      <formula>"Informational"</formula>
    </cfRule>
    <cfRule type="cellIs" dxfId="111" priority="3" operator="equal">
      <formula>"Not Needed"</formula>
    </cfRule>
    <cfRule type="cellIs" dxfId="110" priority="4" operator="equal">
      <formula>"Critical"</formula>
    </cfRule>
    <cfRule type="cellIs" dxfId="109" priority="5" operator="equal">
      <formula>"Extremely Advantageous"</formula>
    </cfRule>
  </conditionalFormatting>
  <conditionalFormatting sqref="G1:G1048576">
    <cfRule type="cellIs" dxfId="108" priority="6" operator="equal">
      <formula>"Exception"</formula>
    </cfRule>
  </conditionalFormatting>
  <conditionalFormatting sqref="G3:G20">
    <cfRule type="cellIs" dxfId="107"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20" xr:uid="{00000000-0002-0000-2700-000000000000}">
      <formula1>SpecType</formula1>
      <formula2>0</formula2>
    </dataValidation>
    <dataValidation type="list" allowBlank="1" showInputMessage="1" showErrorMessage="1" sqref="G3:G20" xr:uid="{00000000-0002-0000-2700-000001000000}">
      <formula1>Availability</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June 2024 ©&amp;R&amp;"Arial,Bold"&amp;10&amp;P of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D8E5B1"/>
    <pageSetUpPr fitToPage="1"/>
  </sheetPr>
  <dimension ref="A1:P48"/>
  <sheetViews>
    <sheetView topLeftCell="B1" zoomScaleNormal="100" zoomScalePageLayoutView="70" workbookViewId="0">
      <selection activeCell="G1" sqref="G1"/>
    </sheetView>
  </sheetViews>
  <sheetFormatPr defaultColWidth="9" defaultRowHeight="15.6" x14ac:dyDescent="0.3"/>
  <cols>
    <col min="1" max="1" width="12.59765625" style="113" customWidth="1"/>
    <col min="2" max="2" width="14.59765625" style="113" customWidth="1"/>
    <col min="3" max="3" width="65.59765625" style="261" customWidth="1"/>
    <col min="4" max="4" width="65.59765625" style="115" customWidth="1"/>
    <col min="5" max="6" width="8.8984375" style="115" hidden="1" customWidth="1"/>
    <col min="7" max="7" width="30.59765625" style="115" customWidth="1"/>
    <col min="8" max="11" width="8.8984375" style="115" customWidth="1"/>
    <col min="12" max="16384" width="9" style="115"/>
  </cols>
  <sheetData>
    <row r="1" spans="1:16" s="124" customFormat="1" ht="105" customHeight="1" x14ac:dyDescent="0.25">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c r="L1" s="123" t="s">
        <v>104</v>
      </c>
    </row>
    <row r="2" spans="1:16" s="118" customFormat="1" x14ac:dyDescent="0.3">
      <c r="A2" s="125" t="s">
        <v>1126</v>
      </c>
      <c r="B2" s="445"/>
      <c r="C2" s="459"/>
      <c r="D2" s="447"/>
      <c r="E2" s="447"/>
      <c r="F2" s="447"/>
      <c r="G2" s="447"/>
      <c r="H2" s="115">
        <f>COUNTA(B3:B14)</f>
        <v>10</v>
      </c>
      <c r="K2" s="115">
        <f>SUM(K3:K14)</f>
        <v>0</v>
      </c>
    </row>
    <row r="3" spans="1:16" ht="27" customHeight="1" x14ac:dyDescent="0.3">
      <c r="A3" s="318" t="str">
        <f>IF(L3=1,"PROS-"&amp;TEXT(COUNTIF($L$3:L3, "1"), "0"), "")</f>
        <v>PROS-1</v>
      </c>
      <c r="B3" s="260" t="s">
        <v>43</v>
      </c>
      <c r="C3" s="532" t="s">
        <v>1127</v>
      </c>
      <c r="D3" s="533"/>
      <c r="E3" s="172"/>
      <c r="F3" s="173"/>
      <c r="G3" s="176" t="s">
        <v>101</v>
      </c>
      <c r="H3" s="131">
        <f>COUNTIF(G:G,"=Select from Drop Down List")</f>
        <v>10</v>
      </c>
      <c r="I3" s="116">
        <f>IF(NOT(ISBLANK($B3)),VLOOKUP($B3,specdata,2,FALSE()),"")</f>
        <v>1</v>
      </c>
      <c r="J3" s="116">
        <f>VLOOKUP(G3,AvailabilityData,2,FALSE())</f>
        <v>0</v>
      </c>
      <c r="K3" s="116">
        <f>I3*J3</f>
        <v>0</v>
      </c>
      <c r="L3" s="115">
        <v>1</v>
      </c>
      <c r="N3" s="858" t="s">
        <v>107</v>
      </c>
      <c r="O3" s="858"/>
      <c r="P3" s="858"/>
    </row>
    <row r="4" spans="1:16" ht="30" customHeight="1" x14ac:dyDescent="0.3">
      <c r="A4" s="316"/>
      <c r="B4" s="126"/>
      <c r="C4" s="519" t="s">
        <v>1128</v>
      </c>
      <c r="D4" s="534"/>
      <c r="E4" s="180"/>
      <c r="F4" s="181"/>
      <c r="G4" s="182"/>
      <c r="H4" s="131">
        <f>COUNTIF(G:G,"=Function Available")</f>
        <v>0</v>
      </c>
      <c r="I4" s="116"/>
      <c r="J4" s="116"/>
      <c r="K4" s="116"/>
      <c r="N4" s="858"/>
      <c r="O4" s="858"/>
      <c r="P4" s="858"/>
    </row>
    <row r="5" spans="1:16" ht="31.2" x14ac:dyDescent="0.3">
      <c r="A5" s="318" t="str">
        <f>IF(L5=1,"PROS-"&amp;TEXT(COUNTIF($L$3:L5, "1"), "0"), "")</f>
        <v>PROS-2</v>
      </c>
      <c r="B5" s="183" t="s">
        <v>43</v>
      </c>
      <c r="C5" s="535" t="s">
        <v>1129</v>
      </c>
      <c r="D5" s="461"/>
      <c r="E5" s="186"/>
      <c r="F5" s="191"/>
      <c r="G5" s="187" t="s">
        <v>101</v>
      </c>
      <c r="H5" s="131">
        <f>COUNTIF(F:G,"=Function Not Available")</f>
        <v>0</v>
      </c>
      <c r="I5" s="116">
        <f>IF(NOT(ISBLANK($B5)),VLOOKUP($B5,specdata,2,FALSE()),"")</f>
        <v>1</v>
      </c>
      <c r="J5" s="116">
        <f>VLOOKUP(G5,AvailabilityData,2,FALSE())</f>
        <v>0</v>
      </c>
      <c r="K5" s="116">
        <f>I5*J5</f>
        <v>0</v>
      </c>
      <c r="L5" s="115">
        <v>1</v>
      </c>
      <c r="N5" s="858"/>
      <c r="O5" s="858"/>
      <c r="P5" s="858"/>
    </row>
    <row r="6" spans="1:16" ht="30" customHeight="1" x14ac:dyDescent="0.3">
      <c r="A6" s="318" t="str">
        <f>IF(L6=1,"PROS-"&amp;TEXT(COUNTIF($L$3:L6, "1"), "0"), "")</f>
        <v>PROS-3</v>
      </c>
      <c r="B6" s="183" t="s">
        <v>43</v>
      </c>
      <c r="C6" s="149" t="s">
        <v>1130</v>
      </c>
      <c r="D6" s="461"/>
      <c r="E6" s="186"/>
      <c r="F6" s="166"/>
      <c r="G6" s="137" t="s">
        <v>101</v>
      </c>
      <c r="H6" s="131">
        <f>COUNTIF(G:G,"=Exception")</f>
        <v>0</v>
      </c>
      <c r="I6" s="116">
        <f>IF(NOT(ISBLANK($B6)),VLOOKUP($B6,specdata,2,FALSE()),"")</f>
        <v>1</v>
      </c>
      <c r="J6" s="116">
        <f>VLOOKUP(G6,AvailabilityData,2,FALSE())</f>
        <v>0</v>
      </c>
      <c r="K6" s="116">
        <f>I6*J6</f>
        <v>0</v>
      </c>
      <c r="L6" s="115">
        <v>1</v>
      </c>
      <c r="N6" s="858"/>
      <c r="O6" s="858"/>
      <c r="P6" s="858"/>
    </row>
    <row r="7" spans="1:16" ht="30" customHeight="1" x14ac:dyDescent="0.3">
      <c r="A7" s="318" t="str">
        <f>IF(L7=1,"PROS-"&amp;TEXT(COUNTIF($L$3:L7, "1"), "0"), "")</f>
        <v>PROS-4</v>
      </c>
      <c r="B7" s="183" t="s">
        <v>43</v>
      </c>
      <c r="C7" s="149" t="s">
        <v>1131</v>
      </c>
      <c r="D7" s="461"/>
      <c r="E7" s="186"/>
      <c r="F7" s="166"/>
      <c r="G7" s="137" t="s">
        <v>101</v>
      </c>
      <c r="H7" s="140">
        <f>COUNTIFS(B:B,"=Critical",G:G,"=Select from Drop Down List")</f>
        <v>0</v>
      </c>
      <c r="I7" s="116">
        <f>IF(NOT(ISBLANK($B7)),VLOOKUP($B7,specdata,2,FALSE()),"")</f>
        <v>1</v>
      </c>
      <c r="J7" s="116">
        <f>VLOOKUP(G7,AvailabilityData,2,FALSE())</f>
        <v>0</v>
      </c>
      <c r="K7" s="116">
        <f>I7*J7</f>
        <v>0</v>
      </c>
      <c r="L7" s="115">
        <v>1</v>
      </c>
    </row>
    <row r="8" spans="1:16" ht="30" customHeight="1" x14ac:dyDescent="0.3">
      <c r="A8" s="318" t="str">
        <f>IF(L8=1,"PROS-"&amp;TEXT(COUNTIF($L$3:L8, "1"), "0"), "")</f>
        <v>PROS-5</v>
      </c>
      <c r="B8" s="183" t="s">
        <v>43</v>
      </c>
      <c r="C8" s="149" t="s">
        <v>1132</v>
      </c>
      <c r="D8" s="461"/>
      <c r="E8" s="186"/>
      <c r="F8" s="166"/>
      <c r="G8" s="137" t="s">
        <v>101</v>
      </c>
      <c r="H8" s="140">
        <f>COUNTIFS(B:B,"=Critical",G:G,"=Function Available")</f>
        <v>0</v>
      </c>
      <c r="I8" s="116">
        <f>IF(NOT(ISBLANK($B8)),VLOOKUP($B8,specdata,2,FALSE()),"")</f>
        <v>1</v>
      </c>
      <c r="J8" s="116">
        <f>VLOOKUP(G8,AvailabilityData,2,FALSE())</f>
        <v>0</v>
      </c>
      <c r="K8" s="116">
        <f>I8*J8</f>
        <v>0</v>
      </c>
      <c r="L8" s="115">
        <v>1</v>
      </c>
    </row>
    <row r="9" spans="1:16" ht="18.75" customHeight="1" x14ac:dyDescent="0.3">
      <c r="A9" s="536"/>
      <c r="B9" s="141"/>
      <c r="C9" s="243" t="s">
        <v>168</v>
      </c>
      <c r="D9" s="151"/>
      <c r="E9" s="537"/>
      <c r="F9" s="538"/>
      <c r="G9" s="145"/>
      <c r="H9" s="140">
        <f>COUNTIFS(B:B,"=Critical",G:G,"=Function Not Available")</f>
        <v>0</v>
      </c>
      <c r="I9" s="116"/>
      <c r="J9" s="116"/>
      <c r="K9" s="116"/>
    </row>
    <row r="10" spans="1:16" ht="30" customHeight="1" x14ac:dyDescent="0.3">
      <c r="A10" s="318" t="str">
        <f>IF(L10=1,"PROS-"&amp;TEXT(COUNTIF($L$3:L10, "1"), "0"), "")</f>
        <v>PROS-6</v>
      </c>
      <c r="B10" s="183" t="s">
        <v>43</v>
      </c>
      <c r="C10" s="254" t="s">
        <v>185</v>
      </c>
      <c r="D10" s="461"/>
      <c r="E10" s="186"/>
      <c r="F10" s="166"/>
      <c r="G10" s="137" t="s">
        <v>101</v>
      </c>
      <c r="H10" s="140">
        <f>COUNTIFS(B:B,"=Critical",G:G,"=Exception")</f>
        <v>0</v>
      </c>
      <c r="I10" s="116">
        <f>IF(NOT(ISBLANK($B10)),VLOOKUP($B10,specdata,2,FALSE()),"")</f>
        <v>1</v>
      </c>
      <c r="J10" s="116">
        <f>VLOOKUP(G10,AvailabilityData,2,FALSE())</f>
        <v>0</v>
      </c>
      <c r="K10" s="116">
        <f>I10*J10</f>
        <v>0</v>
      </c>
      <c r="L10" s="115">
        <v>1</v>
      </c>
    </row>
    <row r="11" spans="1:16" ht="30" customHeight="1" x14ac:dyDescent="0.3">
      <c r="A11" s="318" t="str">
        <f>IF(L11=1,"PROS-"&amp;TEXT(COUNTIF($L$3:L11, "1"), "0"), "")</f>
        <v>PROS-7</v>
      </c>
      <c r="B11" s="183" t="s">
        <v>43</v>
      </c>
      <c r="C11" s="250" t="s">
        <v>170</v>
      </c>
      <c r="D11" s="461"/>
      <c r="E11" s="186"/>
      <c r="F11" s="166"/>
      <c r="G11" s="137" t="s">
        <v>101</v>
      </c>
      <c r="H11" s="146">
        <f>COUNTIFS(B:B,"=Important",G:G,"=Select from Drop Down List")</f>
        <v>10</v>
      </c>
      <c r="I11" s="116">
        <f>IF(NOT(ISBLANK($B11)),VLOOKUP($B11,specdata,2,FALSE()),"")</f>
        <v>1</v>
      </c>
      <c r="J11" s="116">
        <f>VLOOKUP(G11,AvailabilityData,2,FALSE())</f>
        <v>0</v>
      </c>
      <c r="K11" s="116">
        <f>I11*J11</f>
        <v>0</v>
      </c>
      <c r="L11" s="115">
        <v>1</v>
      </c>
    </row>
    <row r="12" spans="1:16" ht="45" customHeight="1" x14ac:dyDescent="0.3">
      <c r="A12" s="318" t="str">
        <f>IF(L12=1,"PROS-"&amp;TEXT(COUNTIF($L$3:L12, "1"), "0"), "")</f>
        <v>PROS-8</v>
      </c>
      <c r="B12" s="183" t="s">
        <v>43</v>
      </c>
      <c r="C12" s="250" t="s">
        <v>171</v>
      </c>
      <c r="D12" s="461"/>
      <c r="E12" s="186"/>
      <c r="F12" s="166"/>
      <c r="G12" s="137" t="s">
        <v>101</v>
      </c>
      <c r="H12" s="146">
        <f>COUNTIFS(B:B,"=Important",G:G,"=Function Available")</f>
        <v>0</v>
      </c>
      <c r="I12" s="116">
        <f>IF(NOT(ISBLANK($B12)),VLOOKUP($B12,specdata,2,FALSE()),"")</f>
        <v>1</v>
      </c>
      <c r="J12" s="116">
        <f>VLOOKUP(G12,AvailabilityData,2,FALSE())</f>
        <v>0</v>
      </c>
      <c r="K12" s="116">
        <f>I12*J12</f>
        <v>0</v>
      </c>
      <c r="L12" s="115">
        <v>1</v>
      </c>
    </row>
    <row r="13" spans="1:16" ht="45" customHeight="1" x14ac:dyDescent="0.3">
      <c r="A13" s="318" t="str">
        <f>IF(L13=1,"PROS-"&amp;TEXT(COUNTIF($L$3:L13, "1"), "0"), "")</f>
        <v>PROS-9</v>
      </c>
      <c r="B13" s="183" t="s">
        <v>43</v>
      </c>
      <c r="C13" s="250" t="s">
        <v>172</v>
      </c>
      <c r="D13" s="461"/>
      <c r="E13" s="186"/>
      <c r="F13" s="166"/>
      <c r="G13" s="137" t="s">
        <v>101</v>
      </c>
      <c r="H13" s="146">
        <f>COUNTIFS(B:B,"=Important",G:G,"=Function Not Available")</f>
        <v>0</v>
      </c>
      <c r="I13" s="116">
        <f>IF(NOT(ISBLANK($B13)),VLOOKUP($B13,specdata,2,FALSE()),"")</f>
        <v>1</v>
      </c>
      <c r="J13" s="116">
        <f>VLOOKUP(G13,AvailabilityData,2,FALSE())</f>
        <v>0</v>
      </c>
      <c r="K13" s="116">
        <f>I13*J13</f>
        <v>0</v>
      </c>
      <c r="L13" s="115">
        <v>1</v>
      </c>
    </row>
    <row r="14" spans="1:16" ht="45" customHeight="1" x14ac:dyDescent="0.3">
      <c r="A14" s="318" t="str">
        <f>IF(L14=1,"PROS-"&amp;TEXT(COUNTIF($L$3:L14, "1"), "0"), "")</f>
        <v>PROS-10</v>
      </c>
      <c r="B14" s="183" t="s">
        <v>43</v>
      </c>
      <c r="C14" s="468" t="s">
        <v>255</v>
      </c>
      <c r="D14" s="461"/>
      <c r="E14" s="186"/>
      <c r="F14" s="166"/>
      <c r="G14" s="137" t="s">
        <v>101</v>
      </c>
      <c r="H14" s="146">
        <f>COUNTIFS(B:B,"=Important",G:G,"=Exception")</f>
        <v>0</v>
      </c>
      <c r="I14" s="116">
        <f>IF(NOT(ISBLANK($B14)),VLOOKUP($B14,specdata,2,FALSE()),"")</f>
        <v>1</v>
      </c>
      <c r="J14" s="116">
        <f>VLOOKUP(G14,AvailabilityData,2,FALSE())</f>
        <v>0</v>
      </c>
      <c r="K14" s="116">
        <f>I14*J14</f>
        <v>0</v>
      </c>
      <c r="L14" s="115">
        <v>1</v>
      </c>
    </row>
    <row r="15" spans="1:16" ht="30" customHeight="1" x14ac:dyDescent="0.3">
      <c r="H15" s="147">
        <f>COUNTIFS(B:B,"=Informational",G:G,"=Select from Drop Down List")</f>
        <v>0</v>
      </c>
    </row>
    <row r="16" spans="1:16" ht="30" customHeight="1" x14ac:dyDescent="0.3">
      <c r="H16" s="147">
        <f>COUNTIFS(B:B,"=Informational",G:G,"=Function Available")</f>
        <v>0</v>
      </c>
    </row>
    <row r="17" spans="1:11" ht="30" customHeight="1" x14ac:dyDescent="0.3">
      <c r="H17" s="147">
        <f>COUNTIFS(B:B,"=Informational",G:G,"=Function Not Available")</f>
        <v>0</v>
      </c>
    </row>
    <row r="18" spans="1:11" ht="30" customHeight="1" x14ac:dyDescent="0.3">
      <c r="H18" s="147">
        <f>COUNTIFS(B:B,"=Informational",G:G,"=Exception")</f>
        <v>0</v>
      </c>
    </row>
    <row r="19" spans="1:11" ht="30" customHeight="1" x14ac:dyDescent="0.3"/>
    <row r="20" spans="1:11" ht="30" customHeight="1" x14ac:dyDescent="0.3"/>
    <row r="21" spans="1:11" ht="30" customHeight="1" x14ac:dyDescent="0.3"/>
    <row r="22" spans="1:11" ht="30" customHeight="1" x14ac:dyDescent="0.3"/>
    <row r="23" spans="1:11" s="131" customFormat="1" ht="30" customHeight="1" x14ac:dyDescent="0.3">
      <c r="A23" s="113"/>
      <c r="B23" s="113"/>
      <c r="C23" s="261"/>
      <c r="D23" s="115"/>
      <c r="E23" s="115"/>
      <c r="F23" s="115"/>
      <c r="G23" s="115"/>
      <c r="H23" s="115"/>
      <c r="I23" s="115"/>
      <c r="J23" s="115"/>
      <c r="K23" s="115"/>
    </row>
    <row r="24" spans="1:11" s="131" customFormat="1" ht="30" customHeight="1" x14ac:dyDescent="0.3">
      <c r="A24" s="113"/>
      <c r="B24" s="113"/>
      <c r="C24" s="261"/>
      <c r="D24" s="115"/>
      <c r="E24" s="115"/>
      <c r="F24" s="115"/>
      <c r="G24" s="115"/>
      <c r="H24" s="115"/>
      <c r="I24" s="115"/>
      <c r="J24" s="115"/>
      <c r="K24" s="115"/>
    </row>
    <row r="25" spans="1:11" s="131" customFormat="1" ht="30" customHeight="1" x14ac:dyDescent="0.3">
      <c r="A25" s="113"/>
      <c r="B25" s="113"/>
      <c r="C25" s="261"/>
      <c r="D25" s="115"/>
      <c r="E25" s="115"/>
      <c r="F25" s="115"/>
      <c r="G25" s="115"/>
      <c r="H25" s="115"/>
      <c r="I25" s="115"/>
      <c r="J25" s="115"/>
      <c r="K25" s="115"/>
    </row>
    <row r="26" spans="1:11" s="131" customFormat="1" ht="30" customHeight="1" x14ac:dyDescent="0.3">
      <c r="A26" s="113"/>
      <c r="B26" s="113"/>
      <c r="C26" s="261"/>
      <c r="D26" s="115"/>
      <c r="E26" s="115"/>
      <c r="F26" s="115"/>
      <c r="G26" s="115"/>
      <c r="H26" s="115"/>
      <c r="I26" s="115"/>
      <c r="J26" s="115"/>
      <c r="K26" s="115"/>
    </row>
    <row r="27" spans="1:11" s="131" customFormat="1" ht="30" customHeight="1" x14ac:dyDescent="0.3">
      <c r="A27" s="113"/>
      <c r="B27" s="113"/>
      <c r="C27" s="261"/>
      <c r="D27" s="115"/>
      <c r="E27" s="115"/>
      <c r="F27" s="115"/>
      <c r="G27" s="115"/>
      <c r="H27" s="115"/>
      <c r="I27" s="115"/>
      <c r="J27" s="115"/>
      <c r="K27" s="115"/>
    </row>
    <row r="28" spans="1:11" s="131" customFormat="1" ht="30" customHeight="1" x14ac:dyDescent="0.3">
      <c r="A28" s="113"/>
      <c r="B28" s="113"/>
      <c r="C28" s="261"/>
      <c r="D28" s="115"/>
      <c r="E28" s="115"/>
      <c r="F28" s="115"/>
      <c r="G28" s="115"/>
      <c r="H28" s="115"/>
      <c r="I28" s="115"/>
      <c r="J28" s="115"/>
      <c r="K28" s="115"/>
    </row>
    <row r="29" spans="1:11" s="131" customFormat="1" ht="30" customHeight="1" x14ac:dyDescent="0.3">
      <c r="A29" s="113"/>
      <c r="B29" s="113"/>
      <c r="C29" s="261"/>
      <c r="D29" s="115"/>
      <c r="E29" s="115"/>
      <c r="F29" s="115"/>
      <c r="G29" s="115"/>
      <c r="H29" s="115"/>
      <c r="I29" s="115"/>
      <c r="J29" s="115"/>
      <c r="K29" s="115"/>
    </row>
    <row r="30" spans="1:11" s="131" customFormat="1" ht="30" customHeight="1" x14ac:dyDescent="0.3">
      <c r="A30" s="113"/>
      <c r="B30" s="113"/>
      <c r="C30" s="261"/>
      <c r="D30" s="115"/>
      <c r="E30" s="115"/>
      <c r="F30" s="115"/>
      <c r="G30" s="115"/>
      <c r="H30" s="115"/>
      <c r="I30" s="115"/>
      <c r="J30" s="115"/>
      <c r="K30" s="115"/>
    </row>
    <row r="31" spans="1:11" s="131" customFormat="1" ht="45" customHeight="1" x14ac:dyDescent="0.3">
      <c r="A31" s="113"/>
      <c r="B31" s="113"/>
      <c r="C31" s="261"/>
      <c r="D31" s="115"/>
      <c r="E31" s="115"/>
      <c r="F31" s="115"/>
      <c r="G31" s="115"/>
      <c r="H31" s="115"/>
      <c r="I31" s="115"/>
      <c r="J31" s="115"/>
      <c r="K31" s="115"/>
    </row>
    <row r="32" spans="1:11" s="131" customFormat="1" ht="30" customHeight="1" x14ac:dyDescent="0.3">
      <c r="A32" s="113"/>
      <c r="B32" s="113"/>
      <c r="C32" s="261"/>
      <c r="D32" s="115"/>
      <c r="E32" s="115"/>
      <c r="F32" s="115"/>
      <c r="G32" s="115"/>
      <c r="H32" s="115"/>
      <c r="I32" s="115"/>
      <c r="J32" s="115"/>
      <c r="K32" s="115"/>
    </row>
    <row r="33" spans="1:11" s="131" customFormat="1" ht="30" customHeight="1" x14ac:dyDescent="0.3">
      <c r="A33" s="113"/>
      <c r="B33" s="113"/>
      <c r="C33" s="261"/>
      <c r="D33" s="115"/>
      <c r="E33" s="115"/>
      <c r="F33" s="115"/>
      <c r="G33" s="115"/>
      <c r="H33" s="115"/>
      <c r="I33" s="115"/>
      <c r="J33" s="115"/>
      <c r="K33" s="115"/>
    </row>
    <row r="34" spans="1:11" s="131" customFormat="1" ht="30" customHeight="1" x14ac:dyDescent="0.3">
      <c r="A34" s="113"/>
      <c r="B34" s="113"/>
      <c r="C34" s="261"/>
      <c r="D34" s="115"/>
      <c r="E34" s="115"/>
      <c r="F34" s="115"/>
      <c r="G34" s="115"/>
      <c r="H34" s="115"/>
      <c r="I34" s="115"/>
      <c r="J34" s="115"/>
      <c r="K34" s="115"/>
    </row>
    <row r="35" spans="1:11" s="131" customFormat="1" ht="30" customHeight="1" x14ac:dyDescent="0.3">
      <c r="A35" s="113"/>
      <c r="B35" s="113"/>
      <c r="C35" s="261"/>
      <c r="D35" s="115"/>
      <c r="E35" s="115"/>
      <c r="F35" s="115"/>
      <c r="G35" s="115"/>
      <c r="H35" s="115"/>
      <c r="I35" s="115"/>
      <c r="J35" s="115"/>
      <c r="K35" s="115"/>
    </row>
    <row r="36" spans="1:11" s="131" customFormat="1" ht="30" customHeight="1" x14ac:dyDescent="0.3">
      <c r="A36" s="113"/>
      <c r="B36" s="113"/>
      <c r="C36" s="261"/>
      <c r="D36" s="115"/>
      <c r="E36" s="115"/>
      <c r="F36" s="115"/>
      <c r="G36" s="115"/>
      <c r="H36" s="115"/>
      <c r="I36" s="115"/>
      <c r="J36" s="115"/>
      <c r="K36" s="115"/>
    </row>
    <row r="37" spans="1:11" s="131" customFormat="1" ht="30" customHeight="1" x14ac:dyDescent="0.3">
      <c r="A37" s="113"/>
      <c r="B37" s="113"/>
      <c r="C37" s="261"/>
      <c r="D37" s="115"/>
      <c r="E37" s="115"/>
      <c r="F37" s="115"/>
      <c r="G37" s="115"/>
      <c r="H37" s="115"/>
      <c r="I37" s="115"/>
      <c r="J37" s="115"/>
      <c r="K37" s="115"/>
    </row>
    <row r="38" spans="1:11" s="131" customFormat="1" ht="30" customHeight="1" x14ac:dyDescent="0.3">
      <c r="A38" s="113"/>
      <c r="B38" s="113"/>
      <c r="C38" s="261"/>
      <c r="D38" s="115"/>
      <c r="E38" s="115"/>
      <c r="F38" s="115"/>
      <c r="G38" s="115"/>
      <c r="H38" s="115"/>
      <c r="I38" s="115"/>
      <c r="J38" s="115"/>
      <c r="K38" s="115"/>
    </row>
    <row r="39" spans="1:11" s="131" customFormat="1" ht="30" customHeight="1" x14ac:dyDescent="0.3">
      <c r="A39" s="113"/>
      <c r="B39" s="113"/>
      <c r="C39" s="261"/>
      <c r="D39" s="115"/>
      <c r="E39" s="115"/>
      <c r="F39" s="115"/>
      <c r="G39" s="115"/>
      <c r="H39" s="115"/>
      <c r="I39" s="115"/>
      <c r="J39" s="115"/>
      <c r="K39" s="115"/>
    </row>
    <row r="40" spans="1:11" s="131" customFormat="1" ht="30" customHeight="1" x14ac:dyDescent="0.3">
      <c r="A40" s="113"/>
      <c r="B40" s="113"/>
      <c r="C40" s="261"/>
      <c r="D40" s="115"/>
      <c r="E40" s="115"/>
      <c r="F40" s="115"/>
      <c r="G40" s="115"/>
      <c r="H40" s="115"/>
      <c r="I40" s="115"/>
      <c r="J40" s="115"/>
      <c r="K40" s="115"/>
    </row>
    <row r="41" spans="1:11" s="131" customFormat="1" ht="30" customHeight="1" x14ac:dyDescent="0.3">
      <c r="A41" s="113"/>
      <c r="B41" s="113"/>
      <c r="C41" s="261"/>
      <c r="D41" s="115"/>
      <c r="E41" s="115"/>
      <c r="F41" s="115"/>
      <c r="G41" s="115"/>
      <c r="H41" s="115"/>
      <c r="I41" s="115"/>
      <c r="J41" s="115"/>
      <c r="K41" s="115"/>
    </row>
    <row r="42" spans="1:11" s="131" customFormat="1" ht="30" customHeight="1" x14ac:dyDescent="0.3">
      <c r="A42" s="113"/>
      <c r="B42" s="113"/>
      <c r="C42" s="261"/>
      <c r="D42" s="115"/>
      <c r="E42" s="115"/>
      <c r="F42" s="115"/>
      <c r="G42" s="115"/>
      <c r="H42" s="115"/>
      <c r="I42" s="115"/>
      <c r="J42" s="115"/>
      <c r="K42" s="115"/>
    </row>
    <row r="43" spans="1:11" s="131" customFormat="1" ht="30" customHeight="1" x14ac:dyDescent="0.3">
      <c r="A43" s="113"/>
      <c r="B43" s="113"/>
      <c r="C43" s="261"/>
      <c r="D43" s="115"/>
      <c r="E43" s="115"/>
      <c r="F43" s="115"/>
      <c r="G43" s="115"/>
      <c r="H43" s="115"/>
      <c r="I43" s="115"/>
      <c r="J43" s="115"/>
      <c r="K43" s="115"/>
    </row>
    <row r="44" spans="1:11" s="131" customFormat="1" ht="30" customHeight="1" x14ac:dyDescent="0.3">
      <c r="A44" s="113"/>
      <c r="B44" s="113"/>
      <c r="C44" s="261"/>
      <c r="D44" s="115"/>
      <c r="E44" s="115"/>
      <c r="F44" s="115"/>
      <c r="G44" s="115"/>
      <c r="H44" s="115"/>
      <c r="I44" s="115"/>
      <c r="J44" s="115"/>
      <c r="K44" s="115"/>
    </row>
    <row r="45" spans="1:11" s="131" customFormat="1" ht="30" customHeight="1" x14ac:dyDescent="0.3">
      <c r="A45" s="113"/>
      <c r="B45" s="113"/>
      <c r="C45" s="261"/>
      <c r="D45" s="115"/>
      <c r="E45" s="115"/>
      <c r="F45" s="115"/>
      <c r="G45" s="115"/>
      <c r="H45" s="115"/>
      <c r="I45" s="115"/>
      <c r="J45" s="115"/>
      <c r="K45" s="115"/>
    </row>
    <row r="46" spans="1:11" s="131" customFormat="1" ht="30" customHeight="1" x14ac:dyDescent="0.3">
      <c r="A46" s="113"/>
      <c r="B46" s="113"/>
      <c r="C46" s="261"/>
      <c r="D46" s="115"/>
      <c r="E46" s="115"/>
      <c r="F46" s="115"/>
      <c r="G46" s="115"/>
      <c r="H46" s="115"/>
      <c r="I46" s="115"/>
      <c r="J46" s="115"/>
      <c r="K46" s="115"/>
    </row>
    <row r="47" spans="1:11" s="131" customFormat="1" ht="30" customHeight="1" x14ac:dyDescent="0.3">
      <c r="A47" s="113"/>
      <c r="B47" s="113"/>
      <c r="C47" s="261"/>
      <c r="D47" s="115"/>
      <c r="E47" s="115"/>
      <c r="F47" s="115"/>
      <c r="G47" s="115"/>
      <c r="H47" s="115"/>
      <c r="I47" s="115"/>
      <c r="J47" s="115"/>
      <c r="K47" s="115"/>
    </row>
    <row r="48" spans="1:11" s="131" customFormat="1" ht="59.25" customHeight="1" x14ac:dyDescent="0.3">
      <c r="A48" s="113"/>
      <c r="B48" s="113"/>
      <c r="C48" s="261"/>
      <c r="D48" s="115"/>
      <c r="E48" s="115"/>
      <c r="F48" s="115"/>
      <c r="G48" s="115"/>
      <c r="H48" s="115"/>
      <c r="I48" s="115"/>
      <c r="J48" s="115"/>
      <c r="K48" s="115"/>
    </row>
  </sheetData>
  <mergeCells count="1">
    <mergeCell ref="N3:P6"/>
  </mergeCells>
  <conditionalFormatting sqref="B1:B1048576">
    <cfRule type="cellIs" dxfId="106" priority="2" operator="equal">
      <formula>"Informational"</formula>
    </cfRule>
    <cfRule type="cellIs" dxfId="105" priority="3" operator="equal">
      <formula>"Not Needed"</formula>
    </cfRule>
    <cfRule type="cellIs" dxfId="104" priority="4" operator="equal">
      <formula>"Critical"</formula>
    </cfRule>
    <cfRule type="cellIs" dxfId="103" priority="5" operator="equal">
      <formula>"Extremely Advantageous"</formula>
    </cfRule>
  </conditionalFormatting>
  <conditionalFormatting sqref="G1:G1048576">
    <cfRule type="cellIs" dxfId="102" priority="6" operator="equal">
      <formula>"Exception"</formula>
    </cfRule>
  </conditionalFormatting>
  <conditionalFormatting sqref="G3:G14">
    <cfRule type="cellIs" dxfId="101"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4" xr:uid="{00000000-0002-0000-2800-000000000000}">
      <formula1>SpecType</formula1>
      <formula2>0</formula2>
    </dataValidation>
    <dataValidation type="list" allowBlank="1" showInputMessage="1" showErrorMessage="1" sqref="G3:G14" xr:uid="{00000000-0002-0000-2800-000001000000}">
      <formula1>Availability</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June 2024 ©&amp;R&amp;"Arial,Bold"&amp;10&amp;P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50"/>
    <pageSetUpPr fitToPage="1"/>
  </sheetPr>
  <dimension ref="A1:Q55"/>
  <sheetViews>
    <sheetView zoomScaleNormal="100" zoomScalePageLayoutView="70" workbookViewId="0">
      <selection activeCell="D3" sqref="D3"/>
    </sheetView>
  </sheetViews>
  <sheetFormatPr defaultColWidth="9" defaultRowHeight="15.6" x14ac:dyDescent="0.3"/>
  <cols>
    <col min="1" max="1" width="10.59765625" style="113" customWidth="1"/>
    <col min="2" max="2" width="14.59765625" style="113" customWidth="1"/>
    <col min="3" max="3" width="65.59765625" style="114" customWidth="1"/>
    <col min="4" max="4" width="65.59765625" style="115" customWidth="1"/>
    <col min="5" max="6" width="8.8984375" style="115" hidden="1" customWidth="1"/>
    <col min="7" max="7" width="30.59765625" style="115" customWidth="1"/>
    <col min="8" max="11" width="8.8984375" style="115" hidden="1" customWidth="1"/>
    <col min="12" max="12" width="0" style="115" hidden="1" customWidth="1"/>
    <col min="13" max="16384" width="9" style="115"/>
  </cols>
  <sheetData>
    <row r="1" spans="1:17" s="124" customFormat="1" ht="105" customHeight="1" thickBot="1" x14ac:dyDescent="0.3">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c r="L1" s="123" t="s">
        <v>104</v>
      </c>
      <c r="M1" s="838"/>
    </row>
    <row r="2" spans="1:17" s="118" customFormat="1" x14ac:dyDescent="0.3">
      <c r="A2" s="125" t="s">
        <v>1133</v>
      </c>
      <c r="B2" s="445"/>
      <c r="C2" s="446"/>
      <c r="D2" s="447"/>
      <c r="E2" s="447"/>
      <c r="F2" s="447"/>
      <c r="G2" s="844"/>
      <c r="H2" s="116">
        <f>COUNTA(B3:B19)</f>
        <v>15</v>
      </c>
      <c r="K2" s="115">
        <f>SUM(K3:K19)</f>
        <v>0</v>
      </c>
    </row>
    <row r="3" spans="1:17" ht="43.35" customHeight="1" x14ac:dyDescent="0.3">
      <c r="A3" s="259" t="str">
        <f>IF(L3=1,"PulsePoint-"&amp;TEXT(COUNTIF($L$3:L3, "1"), "0"), "")</f>
        <v>PulsePoint-1</v>
      </c>
      <c r="B3" s="183" t="s">
        <v>43</v>
      </c>
      <c r="C3" s="269" t="s">
        <v>1134</v>
      </c>
      <c r="D3" s="185"/>
      <c r="E3" s="186"/>
      <c r="F3" s="166"/>
      <c r="G3" s="137" t="s">
        <v>101</v>
      </c>
      <c r="H3" s="131">
        <f>COUNTIF(G:G,"=Select from Drop Down List")</f>
        <v>15</v>
      </c>
      <c r="I3" s="116">
        <f t="shared" ref="I3:I12" si="0">IF(NOT(ISBLANK($B3)),VLOOKUP($B3,specdata,2,FALSE()),"")</f>
        <v>1</v>
      </c>
      <c r="J3" s="116">
        <f t="shared" ref="J3:J12" si="1">VLOOKUP(G3,AvailabilityData,2,FALSE())</f>
        <v>0</v>
      </c>
      <c r="K3" s="116">
        <f t="shared" ref="K3:K12" si="2">I3*J3</f>
        <v>0</v>
      </c>
      <c r="L3" s="115">
        <v>1</v>
      </c>
      <c r="O3" s="857"/>
      <c r="P3" s="857"/>
      <c r="Q3" s="857"/>
    </row>
    <row r="4" spans="1:17" ht="30" customHeight="1" x14ac:dyDescent="0.3">
      <c r="A4" s="259" t="str">
        <f>IF(L4=1,"PulsePoint-"&amp;TEXT(COUNTIF($L$3:L4, "1"), "0"), "")</f>
        <v>PulsePoint-2</v>
      </c>
      <c r="B4" s="183" t="s">
        <v>43</v>
      </c>
      <c r="C4" s="134" t="s">
        <v>1135</v>
      </c>
      <c r="D4" s="185"/>
      <c r="E4" s="186"/>
      <c r="F4" s="166"/>
      <c r="G4" s="137" t="s">
        <v>101</v>
      </c>
      <c r="H4" s="131">
        <f>COUNTIF(G:G,"=Function Available")</f>
        <v>0</v>
      </c>
      <c r="I4" s="116">
        <f t="shared" si="0"/>
        <v>1</v>
      </c>
      <c r="J4" s="116">
        <f t="shared" si="1"/>
        <v>0</v>
      </c>
      <c r="K4" s="116">
        <f t="shared" si="2"/>
        <v>0</v>
      </c>
      <c r="L4" s="115">
        <v>1</v>
      </c>
      <c r="O4" s="857"/>
      <c r="P4" s="857"/>
      <c r="Q4" s="857"/>
    </row>
    <row r="5" spans="1:17" ht="30" customHeight="1" x14ac:dyDescent="0.3">
      <c r="A5" s="259" t="str">
        <f>IF(L5=1,"PulsePoint-"&amp;TEXT(COUNTIF($L$3:L5, "1"), "0"), "")</f>
        <v>PulsePoint-3</v>
      </c>
      <c r="B5" s="183" t="s">
        <v>43</v>
      </c>
      <c r="C5" s="134" t="s">
        <v>1136</v>
      </c>
      <c r="D5" s="185"/>
      <c r="E5" s="186"/>
      <c r="F5" s="166"/>
      <c r="G5" s="137" t="s">
        <v>101</v>
      </c>
      <c r="H5" s="131">
        <f>COUNTIF(F:G,"=Function Not Available")</f>
        <v>0</v>
      </c>
      <c r="I5" s="116">
        <f t="shared" si="0"/>
        <v>1</v>
      </c>
      <c r="J5" s="116">
        <f t="shared" si="1"/>
        <v>0</v>
      </c>
      <c r="K5" s="116">
        <f t="shared" si="2"/>
        <v>0</v>
      </c>
      <c r="L5" s="115">
        <v>1</v>
      </c>
      <c r="O5" s="857"/>
      <c r="P5" s="857"/>
      <c r="Q5" s="857"/>
    </row>
    <row r="6" spans="1:17" ht="46.8" x14ac:dyDescent="0.3">
      <c r="A6" s="259" t="str">
        <f>IF(L6=1,"PulsePoint-"&amp;TEXT(COUNTIF($L$3:L6, "1"), "0"), "")</f>
        <v>PulsePoint-4</v>
      </c>
      <c r="B6" s="183" t="s">
        <v>43</v>
      </c>
      <c r="C6" s="134" t="s">
        <v>1137</v>
      </c>
      <c r="D6" s="185"/>
      <c r="E6" s="186"/>
      <c r="F6" s="166"/>
      <c r="G6" s="137" t="s">
        <v>101</v>
      </c>
      <c r="H6" s="131">
        <f>COUNTIF(G:G,"=Exception")</f>
        <v>0</v>
      </c>
      <c r="I6" s="116">
        <f t="shared" si="0"/>
        <v>1</v>
      </c>
      <c r="J6" s="116">
        <f t="shared" si="1"/>
        <v>0</v>
      </c>
      <c r="K6" s="116">
        <f t="shared" si="2"/>
        <v>0</v>
      </c>
      <c r="L6" s="115">
        <v>1</v>
      </c>
      <c r="O6" s="857"/>
      <c r="P6" s="857"/>
      <c r="Q6" s="857"/>
    </row>
    <row r="7" spans="1:17" ht="30" customHeight="1" x14ac:dyDescent="0.3">
      <c r="A7" s="259" t="str">
        <f>IF(L7=1,"PulsePoint-"&amp;TEXT(COUNTIF($L$3:L7, "1"), "0"), "")</f>
        <v>PulsePoint-5</v>
      </c>
      <c r="B7" s="183" t="s">
        <v>43</v>
      </c>
      <c r="C7" s="134" t="s">
        <v>1138</v>
      </c>
      <c r="D7" s="185"/>
      <c r="E7" s="186"/>
      <c r="F7" s="166"/>
      <c r="G7" s="137" t="s">
        <v>101</v>
      </c>
      <c r="H7" s="140">
        <f>COUNTIFS(B:B,"=Critical",G:G,"=Select from Drop Down List")</f>
        <v>0</v>
      </c>
      <c r="I7" s="116">
        <f t="shared" si="0"/>
        <v>1</v>
      </c>
      <c r="J7" s="116">
        <f t="shared" si="1"/>
        <v>0</v>
      </c>
      <c r="K7" s="116">
        <f t="shared" si="2"/>
        <v>0</v>
      </c>
      <c r="L7" s="115">
        <v>1</v>
      </c>
    </row>
    <row r="8" spans="1:17" ht="30" customHeight="1" x14ac:dyDescent="0.3">
      <c r="A8" s="259" t="str">
        <f>IF(L8=1,"PulsePoint-"&amp;TEXT(COUNTIF($L$3:L8, "1"), "0"), "")</f>
        <v>PulsePoint-6</v>
      </c>
      <c r="B8" s="260" t="s">
        <v>43</v>
      </c>
      <c r="C8" s="271" t="s">
        <v>1139</v>
      </c>
      <c r="D8" s="192"/>
      <c r="E8" s="172"/>
      <c r="F8" s="173"/>
      <c r="G8" s="137" t="s">
        <v>101</v>
      </c>
      <c r="H8" s="140">
        <f>COUNTIFS(B:B,"=Critical",G:G,"=Function Available")</f>
        <v>0</v>
      </c>
      <c r="I8" s="116">
        <f t="shared" si="0"/>
        <v>1</v>
      </c>
      <c r="J8" s="116">
        <f t="shared" si="1"/>
        <v>0</v>
      </c>
      <c r="K8" s="116">
        <f t="shared" si="2"/>
        <v>0</v>
      </c>
      <c r="L8" s="115">
        <v>1</v>
      </c>
    </row>
    <row r="9" spans="1:17" ht="31.2" x14ac:dyDescent="0.3">
      <c r="A9" s="259" t="str">
        <f>IF(L9=1,"PulsePoint-"&amp;TEXT(COUNTIF($L$3:L9, "1"), "0"), "")</f>
        <v>PulsePoint-7</v>
      </c>
      <c r="B9" s="133" t="s">
        <v>43</v>
      </c>
      <c r="C9" s="134" t="s">
        <v>1140</v>
      </c>
      <c r="D9" s="138"/>
      <c r="E9" s="168"/>
      <c r="F9" s="137"/>
      <c r="G9" s="240" t="s">
        <v>101</v>
      </c>
      <c r="H9" s="140">
        <f>COUNTIFS(B:B,"=Critical",G:G,"=Function Not Available")</f>
        <v>0</v>
      </c>
      <c r="I9" s="116">
        <f t="shared" si="0"/>
        <v>1</v>
      </c>
      <c r="J9" s="116">
        <f t="shared" si="1"/>
        <v>0</v>
      </c>
      <c r="K9" s="116">
        <f t="shared" si="2"/>
        <v>0</v>
      </c>
      <c r="L9" s="115">
        <v>1</v>
      </c>
    </row>
    <row r="10" spans="1:17" ht="46.8" x14ac:dyDescent="0.3">
      <c r="A10" s="259" t="str">
        <f>IF(L10=1,"PulsePoint-"&amp;TEXT(COUNTIF($L$3:L10, "1"), "0"), "")</f>
        <v>PulsePoint-8</v>
      </c>
      <c r="B10" s="133" t="s">
        <v>43</v>
      </c>
      <c r="C10" s="134" t="s">
        <v>1141</v>
      </c>
      <c r="D10" s="138"/>
      <c r="E10" s="168"/>
      <c r="F10" s="137"/>
      <c r="G10" s="240" t="s">
        <v>101</v>
      </c>
      <c r="H10" s="140">
        <f>COUNTIFS(B:B,"=Critical",G:G,"=Exception")</f>
        <v>0</v>
      </c>
      <c r="I10" s="116">
        <f t="shared" si="0"/>
        <v>1</v>
      </c>
      <c r="J10" s="116">
        <f t="shared" si="1"/>
        <v>0</v>
      </c>
      <c r="K10" s="116">
        <f t="shared" si="2"/>
        <v>0</v>
      </c>
      <c r="L10" s="115">
        <v>1</v>
      </c>
    </row>
    <row r="11" spans="1:17" ht="30" customHeight="1" x14ac:dyDescent="0.3">
      <c r="A11" s="259" t="str">
        <f>IF(L11=1,"PulsePoint-"&amp;TEXT(COUNTIF($L$3:L11, "1"), "0"), "")</f>
        <v>PulsePoint-9</v>
      </c>
      <c r="B11" s="133" t="s">
        <v>43</v>
      </c>
      <c r="C11" s="134" t="s">
        <v>1142</v>
      </c>
      <c r="D11" s="138"/>
      <c r="E11" s="168"/>
      <c r="F11" s="137"/>
      <c r="G11" s="240" t="s">
        <v>101</v>
      </c>
      <c r="H11" s="146">
        <f>COUNTIFS(B:B,"=Important",G:G,"=Select from Drop Down List")</f>
        <v>15</v>
      </c>
      <c r="I11" s="116">
        <f t="shared" si="0"/>
        <v>1</v>
      </c>
      <c r="J11" s="116">
        <f t="shared" si="1"/>
        <v>0</v>
      </c>
      <c r="K11" s="116">
        <f t="shared" si="2"/>
        <v>0</v>
      </c>
      <c r="L11" s="115">
        <v>1</v>
      </c>
    </row>
    <row r="12" spans="1:17" ht="45" customHeight="1" x14ac:dyDescent="0.3">
      <c r="A12" s="259" t="str">
        <f>IF(L12=1,"PulsePoint-"&amp;TEXT(COUNTIF($L$3:L12, "1"), "0"), "")</f>
        <v>PulsePoint-10</v>
      </c>
      <c r="B12" s="169" t="s">
        <v>43</v>
      </c>
      <c r="C12" s="271" t="s">
        <v>1143</v>
      </c>
      <c r="D12" s="462"/>
      <c r="E12" s="175"/>
      <c r="F12" s="176"/>
      <c r="G12" s="137" t="s">
        <v>101</v>
      </c>
      <c r="H12" s="146">
        <f>COUNTIFS(B:B,"=Important",G:G,"=Function Available")</f>
        <v>0</v>
      </c>
      <c r="I12" s="116">
        <f t="shared" si="0"/>
        <v>1</v>
      </c>
      <c r="J12" s="116">
        <f t="shared" si="1"/>
        <v>0</v>
      </c>
      <c r="K12" s="116">
        <f t="shared" si="2"/>
        <v>0</v>
      </c>
      <c r="L12" s="115">
        <v>1</v>
      </c>
    </row>
    <row r="13" spans="1:17" x14ac:dyDescent="0.3">
      <c r="A13" s="316"/>
      <c r="B13" s="126"/>
      <c r="C13" s="243" t="s">
        <v>168</v>
      </c>
      <c r="D13" s="194"/>
      <c r="E13" s="180"/>
      <c r="F13" s="181"/>
      <c r="G13" s="849"/>
      <c r="H13" s="146">
        <f>COUNTIFS(B:B,"=Important",G:G,"=Function Not Available")</f>
        <v>0</v>
      </c>
      <c r="I13" s="116"/>
      <c r="J13" s="116"/>
      <c r="K13" s="116"/>
    </row>
    <row r="14" spans="1:17" ht="30" customHeight="1" x14ac:dyDescent="0.3">
      <c r="A14" s="259" t="str">
        <f>IF(L14=1,"PulsePoint-"&amp;TEXT(COUNTIF($L$3:L14, "1"), "0"), "")</f>
        <v>PulsePoint-11</v>
      </c>
      <c r="B14" s="183" t="s">
        <v>43</v>
      </c>
      <c r="C14" s="269" t="s">
        <v>1144</v>
      </c>
      <c r="D14" s="185"/>
      <c r="E14" s="186"/>
      <c r="F14" s="187"/>
      <c r="G14" s="249" t="s">
        <v>101</v>
      </c>
      <c r="H14" s="146">
        <f>COUNTIFS(B:B,"=Important",G:G,"=Exception")</f>
        <v>0</v>
      </c>
      <c r="I14" s="116">
        <f>IF(NOT(ISBLANK($B14)),VLOOKUP($B14,specdata,2,FALSE()),"")</f>
        <v>1</v>
      </c>
      <c r="J14" s="116">
        <f>VLOOKUP(G14,AvailabilityData,2,FALSE())</f>
        <v>0</v>
      </c>
      <c r="K14" s="116">
        <f>I14*J14</f>
        <v>0</v>
      </c>
      <c r="L14" s="115">
        <v>1</v>
      </c>
    </row>
    <row r="15" spans="1:17" ht="30" customHeight="1" x14ac:dyDescent="0.3">
      <c r="A15" s="259" t="str">
        <f>IF(L15=1,"PulsePoint-"&amp;TEXT(COUNTIF($L$3:L15, "1"), "0"), "")</f>
        <v>PulsePoint-12</v>
      </c>
      <c r="B15" s="183" t="s">
        <v>43</v>
      </c>
      <c r="C15" s="269" t="s">
        <v>170</v>
      </c>
      <c r="D15" s="185"/>
      <c r="E15" s="186"/>
      <c r="F15" s="191"/>
      <c r="G15" s="137" t="s">
        <v>101</v>
      </c>
      <c r="H15" s="147">
        <f>COUNTIFS(B:B,"=Informational",G:G,"=Select from Drop Down List")</f>
        <v>0</v>
      </c>
      <c r="I15" s="116">
        <f>IF(NOT(ISBLANK($B15)),VLOOKUP($B15,specdata,2,FALSE()),"")</f>
        <v>1</v>
      </c>
      <c r="J15" s="116">
        <f>VLOOKUP(G15,AvailabilityData,2,FALSE())</f>
        <v>0</v>
      </c>
      <c r="K15" s="116">
        <f>I15*J15</f>
        <v>0</v>
      </c>
      <c r="L15" s="115">
        <v>1</v>
      </c>
    </row>
    <row r="16" spans="1:17" x14ac:dyDescent="0.3">
      <c r="A16" s="316"/>
      <c r="B16" s="126"/>
      <c r="C16" s="243" t="s">
        <v>174</v>
      </c>
      <c r="D16" s="194"/>
      <c r="E16" s="180"/>
      <c r="F16" s="181"/>
      <c r="G16" s="849"/>
      <c r="H16" s="147">
        <f>COUNTIFS(B:B,"=Informational",G:G,"=Function Available")</f>
        <v>0</v>
      </c>
      <c r="I16" s="116"/>
      <c r="J16" s="116"/>
      <c r="K16" s="116"/>
    </row>
    <row r="17" spans="1:12" ht="46.8" x14ac:dyDescent="0.3">
      <c r="A17" s="259" t="str">
        <f>IF(L17=1,"PulsePoint-"&amp;TEXT(COUNTIF($L$3:L17, "1"), "0"), "")</f>
        <v>PulsePoint-13</v>
      </c>
      <c r="B17" s="183" t="s">
        <v>43</v>
      </c>
      <c r="C17" s="269" t="s">
        <v>1141</v>
      </c>
      <c r="D17" s="185"/>
      <c r="E17" s="186"/>
      <c r="F17" s="191"/>
      <c r="G17" s="187" t="s">
        <v>101</v>
      </c>
      <c r="H17" s="147">
        <f>COUNTIFS(B:B,"=Informational",G:G,"=Function Not Available")</f>
        <v>0</v>
      </c>
      <c r="I17" s="116">
        <f>IF(NOT(ISBLANK($B17)),VLOOKUP($B17,specdata,2,FALSE()),"")</f>
        <v>1</v>
      </c>
      <c r="J17" s="116">
        <f>VLOOKUP(G17,AvailabilityData,2,FALSE())</f>
        <v>0</v>
      </c>
      <c r="K17" s="116">
        <f>I17*J17</f>
        <v>0</v>
      </c>
      <c r="L17" s="115">
        <v>1</v>
      </c>
    </row>
    <row r="18" spans="1:12" ht="46.8" x14ac:dyDescent="0.3">
      <c r="A18" s="259" t="str">
        <f>IF(L18=1,"PulsePoint-"&amp;TEXT(COUNTIF($L$3:L18, "1"), "0"), "")</f>
        <v>PulsePoint-14</v>
      </c>
      <c r="B18" s="183" t="s">
        <v>43</v>
      </c>
      <c r="C18" s="134" t="s">
        <v>1145</v>
      </c>
      <c r="D18" s="185"/>
      <c r="E18" s="186"/>
      <c r="F18" s="166"/>
      <c r="G18" s="137" t="s">
        <v>101</v>
      </c>
      <c r="H18" s="147">
        <f>COUNTIFS(B:B,"=Informational",G:G,"=Exception")</f>
        <v>0</v>
      </c>
      <c r="I18" s="116">
        <f>IF(NOT(ISBLANK($B18)),VLOOKUP($B18,specdata,2,FALSE()),"")</f>
        <v>1</v>
      </c>
      <c r="J18" s="116">
        <f>VLOOKUP(G18,AvailabilityData,2,FALSE())</f>
        <v>0</v>
      </c>
      <c r="K18" s="116">
        <f>I18*J18</f>
        <v>0</v>
      </c>
      <c r="L18" s="115">
        <v>1</v>
      </c>
    </row>
    <row r="19" spans="1:12" ht="46.8" x14ac:dyDescent="0.3">
      <c r="A19" s="259" t="str">
        <f>IF(L19=1,"PulsePoint-"&amp;TEXT(COUNTIF($L$3:L19, "1"), "0"), "")</f>
        <v>PulsePoint-15</v>
      </c>
      <c r="B19" s="183" t="s">
        <v>43</v>
      </c>
      <c r="C19" s="134" t="s">
        <v>1146</v>
      </c>
      <c r="D19" s="185"/>
      <c r="E19" s="186"/>
      <c r="F19" s="166"/>
      <c r="G19" s="137" t="s">
        <v>101</v>
      </c>
      <c r="I19" s="116">
        <f>IF(NOT(ISBLANK($B19)),VLOOKUP($B19,specdata,2,FALSE()),"")</f>
        <v>1</v>
      </c>
      <c r="J19" s="116">
        <f>VLOOKUP(G19,AvailabilityData,2,FALSE())</f>
        <v>0</v>
      </c>
      <c r="K19" s="116">
        <f>I19*J19</f>
        <v>0</v>
      </c>
      <c r="L19" s="115">
        <v>1</v>
      </c>
    </row>
    <row r="20" spans="1:12" ht="30" customHeight="1" x14ac:dyDescent="0.3"/>
    <row r="21" spans="1:12" ht="30" customHeight="1" x14ac:dyDescent="0.3"/>
    <row r="22" spans="1:12" ht="30" customHeight="1" x14ac:dyDescent="0.3"/>
    <row r="23" spans="1:12" ht="30" customHeight="1" x14ac:dyDescent="0.3"/>
    <row r="24" spans="1:12" ht="30" customHeight="1" x14ac:dyDescent="0.3"/>
    <row r="25" spans="1:12" ht="30" customHeight="1" x14ac:dyDescent="0.3"/>
    <row r="26" spans="1:12" ht="30" customHeight="1" x14ac:dyDescent="0.3"/>
    <row r="27" spans="1:12" ht="30" customHeight="1" x14ac:dyDescent="0.3"/>
    <row r="28" spans="1:12" ht="30" customHeight="1" x14ac:dyDescent="0.3"/>
    <row r="29" spans="1:12" ht="30" customHeight="1" x14ac:dyDescent="0.3"/>
    <row r="30" spans="1:12" ht="30" customHeight="1" x14ac:dyDescent="0.3"/>
    <row r="31" spans="1:12" ht="30" customHeight="1" x14ac:dyDescent="0.3"/>
    <row r="32" spans="1:12" ht="30" customHeight="1" x14ac:dyDescent="0.3"/>
    <row r="33" ht="30" customHeight="1" x14ac:dyDescent="0.3"/>
    <row r="34" ht="30" customHeight="1" x14ac:dyDescent="0.3"/>
    <row r="35" ht="30" customHeight="1" x14ac:dyDescent="0.3"/>
    <row r="36" ht="30" customHeight="1" x14ac:dyDescent="0.3"/>
    <row r="37" ht="30" customHeight="1" x14ac:dyDescent="0.3"/>
    <row r="38" ht="45"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59.25" customHeight="1" x14ac:dyDescent="0.3"/>
  </sheetData>
  <sheetProtection algorithmName="SHA-512" hashValue="8/jbJ/gbPmhb8MTUxV02oik2NIV7v2A/YtHo1GDmSpTU1k67C+Qnq8UJ1W8GISTmm09WnRTbkBNkgj7TYG3ZVQ==" saltValue="RhDO4eNp+sIk5bbK/Kw3VQ==" spinCount="100000" sheet="1" objects="1" scenarios="1"/>
  <mergeCells count="1">
    <mergeCell ref="O3:Q6"/>
  </mergeCells>
  <conditionalFormatting sqref="B1:B1048576">
    <cfRule type="cellIs" dxfId="100" priority="2" operator="equal">
      <formula>"Informational"</formula>
    </cfRule>
    <cfRule type="cellIs" dxfId="99" priority="3" operator="equal">
      <formula>"Not Needed"</formula>
    </cfRule>
    <cfRule type="cellIs" dxfId="98" priority="4" operator="equal">
      <formula>"Critical"</formula>
    </cfRule>
    <cfRule type="cellIs" dxfId="97" priority="5" operator="equal">
      <formula>"Extremely Advantageous"</formula>
    </cfRule>
  </conditionalFormatting>
  <conditionalFormatting sqref="G1:G1048576">
    <cfRule type="cellIs" dxfId="96" priority="6" operator="equal">
      <formula>"Exception"</formula>
    </cfRule>
  </conditionalFormatting>
  <conditionalFormatting sqref="G3:G19">
    <cfRule type="cellIs" dxfId="95"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9" xr:uid="{00000000-0002-0000-2900-000000000000}">
      <formula1>SpecType</formula1>
      <formula2>0</formula2>
    </dataValidation>
    <dataValidation type="list" allowBlank="1" showInputMessage="1" showErrorMessage="1" sqref="G3:G12 G14:G15 G17:G19" xr:uid="{00000000-0002-0000-29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50"/>
    <pageSetUpPr fitToPage="1"/>
  </sheetPr>
  <dimension ref="A1:Q66"/>
  <sheetViews>
    <sheetView zoomScaleNormal="100" zoomScalePageLayoutView="70" workbookViewId="0">
      <selection activeCell="D3" sqref="D3"/>
    </sheetView>
  </sheetViews>
  <sheetFormatPr defaultColWidth="9" defaultRowHeight="15.6" x14ac:dyDescent="0.3"/>
  <cols>
    <col min="1" max="1" width="10.59765625" style="113" customWidth="1"/>
    <col min="2" max="2" width="14.59765625" style="113" customWidth="1"/>
    <col min="3" max="3" width="65.59765625" style="261" customWidth="1"/>
    <col min="4" max="4" width="65.59765625" style="115" customWidth="1"/>
    <col min="5" max="6" width="8.8984375" style="115" hidden="1" customWidth="1"/>
    <col min="7" max="7" width="30.59765625" style="115" customWidth="1"/>
    <col min="8" max="11" width="8.8984375" style="131" hidden="1" customWidth="1"/>
    <col min="12" max="12" width="0" style="115" hidden="1" customWidth="1"/>
    <col min="13" max="16384" width="9" style="115"/>
  </cols>
  <sheetData>
    <row r="1" spans="1:17" s="124" customFormat="1" ht="105" customHeight="1" thickBot="1" x14ac:dyDescent="0.3">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c r="L1" s="123" t="s">
        <v>104</v>
      </c>
      <c r="M1" s="838"/>
    </row>
    <row r="2" spans="1:17" s="118" customFormat="1" x14ac:dyDescent="0.3">
      <c r="A2" s="125" t="s">
        <v>1147</v>
      </c>
      <c r="B2" s="445"/>
      <c r="C2" s="459"/>
      <c r="D2" s="447"/>
      <c r="E2" s="447"/>
      <c r="F2" s="447"/>
      <c r="G2" s="844"/>
      <c r="H2" s="667">
        <f>COUNTA('Radio Console'!B3:B66)</f>
        <v>62</v>
      </c>
      <c r="I2" s="117"/>
      <c r="J2" s="117"/>
      <c r="K2" s="131">
        <f>SUM(K3:K66)</f>
        <v>0</v>
      </c>
    </row>
    <row r="3" spans="1:17" ht="29.25" customHeight="1" x14ac:dyDescent="0.3">
      <c r="A3" s="259" t="str">
        <f>IF(L3=1,"RadioCon-"&amp;TEXT(COUNTIF($L$3:L3, "1"), "0"), "")</f>
        <v>RadioCon-1</v>
      </c>
      <c r="B3" s="183" t="s">
        <v>45</v>
      </c>
      <c r="C3" s="164" t="s">
        <v>1148</v>
      </c>
      <c r="D3" s="185"/>
      <c r="E3" s="186"/>
      <c r="F3" s="166"/>
      <c r="G3" s="137" t="s">
        <v>101</v>
      </c>
      <c r="H3" s="676">
        <f>COUNTIF('Radio Console'!G:G,"=Select from Drop Down List")</f>
        <v>62</v>
      </c>
      <c r="I3" s="131">
        <f>IF(NOT(ISBLANK($B3)),VLOOKUP($B3,specdata,2,FALSE()),"")</f>
        <v>0</v>
      </c>
      <c r="J3" s="131">
        <f>VLOOKUP(G3,AvailabilityData,2,FALSE())</f>
        <v>0</v>
      </c>
      <c r="K3" s="131">
        <f>I3*J3</f>
        <v>0</v>
      </c>
      <c r="L3" s="115">
        <v>1</v>
      </c>
      <c r="O3" s="857"/>
      <c r="P3" s="857"/>
      <c r="Q3" s="857"/>
    </row>
    <row r="4" spans="1:17" ht="30" customHeight="1" x14ac:dyDescent="0.3">
      <c r="A4" s="259" t="str">
        <f>IF(L4=1,"RadioCon-"&amp;TEXT(COUNTIF($L$3:L4, "1"), "0"), "")</f>
        <v>RadioCon-2</v>
      </c>
      <c r="B4" s="183" t="s">
        <v>43</v>
      </c>
      <c r="C4" s="164" t="s">
        <v>1149</v>
      </c>
      <c r="D4" s="164"/>
      <c r="E4" s="172"/>
      <c r="F4" s="173"/>
      <c r="G4" s="176" t="s">
        <v>101</v>
      </c>
      <c r="H4" s="676">
        <f>COUNTIF('Radio Console'!G:G,"=Function Available")</f>
        <v>0</v>
      </c>
      <c r="I4" s="131">
        <f>IF(NOT(ISBLANK($B4)),VLOOKUP($B4,specdata,2,FALSE()),"")</f>
        <v>1</v>
      </c>
      <c r="J4" s="131">
        <f>VLOOKUP(G4,AvailabilityData,2,FALSE())</f>
        <v>0</v>
      </c>
      <c r="K4" s="131">
        <f>I4*J4</f>
        <v>0</v>
      </c>
      <c r="L4" s="115">
        <v>1</v>
      </c>
      <c r="O4" s="857"/>
      <c r="P4" s="857"/>
      <c r="Q4" s="857"/>
    </row>
    <row r="5" spans="1:17" ht="30" customHeight="1" x14ac:dyDescent="0.3">
      <c r="A5" s="259" t="str">
        <f>IF(L5=1,"RadioCon-"&amp;TEXT(COUNTIF($L$3:L5, "1"), "0"), "")</f>
        <v>RadioCon-3</v>
      </c>
      <c r="B5" s="183" t="s">
        <v>43</v>
      </c>
      <c r="C5" s="539" t="s">
        <v>1150</v>
      </c>
      <c r="D5" s="185"/>
      <c r="E5" s="263"/>
      <c r="F5" s="177"/>
      <c r="G5" s="137" t="s">
        <v>101</v>
      </c>
      <c r="H5" s="676">
        <f>COUNTIF('Radio Console'!F:G,"=Function Not Available")</f>
        <v>0</v>
      </c>
      <c r="I5" s="131">
        <f>IF(NOT(ISBLANK($B5)),VLOOKUP($B5,specdata,2,FALSE()),"")</f>
        <v>1</v>
      </c>
      <c r="J5" s="131">
        <f>VLOOKUP(G5,AvailabilityData,2,FALSE())</f>
        <v>0</v>
      </c>
      <c r="K5" s="131">
        <f>I5*J5</f>
        <v>0</v>
      </c>
      <c r="L5" s="115">
        <v>1</v>
      </c>
      <c r="O5" s="857"/>
      <c r="P5" s="857"/>
      <c r="Q5" s="857"/>
    </row>
    <row r="6" spans="1:17" ht="30" customHeight="1" x14ac:dyDescent="0.3">
      <c r="A6" s="316"/>
      <c r="B6" s="126"/>
      <c r="C6" s="178" t="s">
        <v>1151</v>
      </c>
      <c r="D6" s="534"/>
      <c r="E6" s="180"/>
      <c r="F6" s="181"/>
      <c r="G6" s="849"/>
      <c r="H6" s="676">
        <f>COUNTIF('Radio Console'!G:G,"=Exception")</f>
        <v>0</v>
      </c>
      <c r="O6" s="857"/>
      <c r="P6" s="857"/>
      <c r="Q6" s="857"/>
    </row>
    <row r="7" spans="1:17" ht="30" customHeight="1" x14ac:dyDescent="0.3">
      <c r="A7" s="259" t="str">
        <f>IF(L7=1,"RadioCon-"&amp;TEXT(COUNTIF($L$3:L7, "1"), "0"), "")</f>
        <v>RadioCon-4</v>
      </c>
      <c r="B7" s="183" t="s">
        <v>43</v>
      </c>
      <c r="C7" s="320" t="s">
        <v>1152</v>
      </c>
      <c r="D7" s="461"/>
      <c r="E7" s="186"/>
      <c r="F7" s="191"/>
      <c r="G7" s="187" t="s">
        <v>101</v>
      </c>
      <c r="H7" s="698">
        <f>COUNTIFS('Radio Console'!B:B,"=Critical",'Radio Console'!G:G,"=Select from Drop Down List")</f>
        <v>0</v>
      </c>
      <c r="I7" s="131">
        <f t="shared" ref="I7:I30" si="0">IF(NOT(ISBLANK($B7)),VLOOKUP($B7,specdata,2,FALSE()),"")</f>
        <v>1</v>
      </c>
      <c r="J7" s="131">
        <f t="shared" ref="J7:J30" si="1">VLOOKUP(G7,AvailabilityData,2,FALSE())</f>
        <v>0</v>
      </c>
      <c r="K7" s="131">
        <f t="shared" ref="K7:K30" si="2">I7*J7</f>
        <v>0</v>
      </c>
      <c r="L7" s="115">
        <v>1</v>
      </c>
      <c r="O7" s="857"/>
      <c r="P7" s="857"/>
      <c r="Q7" s="857"/>
    </row>
    <row r="8" spans="1:17" ht="30" customHeight="1" x14ac:dyDescent="0.3">
      <c r="A8" s="259" t="str">
        <f>IF(L8=1,"RadioCon-"&amp;TEXT(COUNTIF($L$3:L8, "1"), "0"), "")</f>
        <v>RadioCon-5</v>
      </c>
      <c r="B8" s="183" t="s">
        <v>43</v>
      </c>
      <c r="C8" s="320" t="s">
        <v>1153</v>
      </c>
      <c r="D8" s="185"/>
      <c r="E8" s="186"/>
      <c r="F8" s="166"/>
      <c r="G8" s="137" t="s">
        <v>101</v>
      </c>
      <c r="H8" s="698">
        <f>COUNTIFS('Radio Console'!B:B,"=Critical",'Radio Console'!G:G,"=Function Available")</f>
        <v>0</v>
      </c>
      <c r="I8" s="131">
        <f t="shared" si="0"/>
        <v>1</v>
      </c>
      <c r="J8" s="131">
        <f t="shared" si="1"/>
        <v>0</v>
      </c>
      <c r="K8" s="131">
        <f t="shared" si="2"/>
        <v>0</v>
      </c>
      <c r="L8" s="115">
        <v>1</v>
      </c>
    </row>
    <row r="9" spans="1:17" ht="30" customHeight="1" x14ac:dyDescent="0.3">
      <c r="A9" s="259" t="str">
        <f>IF(L9=1,"RadioCon-"&amp;TEXT(COUNTIF($L$3:L9, "1"), "0"), "")</f>
        <v>RadioCon-6</v>
      </c>
      <c r="B9" s="183" t="s">
        <v>43</v>
      </c>
      <c r="C9" s="540" t="s">
        <v>1154</v>
      </c>
      <c r="D9" s="461"/>
      <c r="E9" s="186"/>
      <c r="F9" s="166"/>
      <c r="G9" s="137" t="s">
        <v>101</v>
      </c>
      <c r="H9" s="698">
        <f>COUNTIFS('Radio Console'!B:B,"=Critical",'Radio Console'!G:G,"=Function Not Available")</f>
        <v>0</v>
      </c>
      <c r="I9" s="131">
        <f t="shared" si="0"/>
        <v>1</v>
      </c>
      <c r="J9" s="131">
        <f t="shared" si="1"/>
        <v>0</v>
      </c>
      <c r="K9" s="131">
        <f t="shared" si="2"/>
        <v>0</v>
      </c>
      <c r="L9" s="115">
        <v>1</v>
      </c>
    </row>
    <row r="10" spans="1:17" ht="30" customHeight="1" x14ac:dyDescent="0.3">
      <c r="A10" s="259" t="str">
        <f>IF(L10=1,"RadioCon-"&amp;TEXT(COUNTIF($L$3:L10, "1"), "0"), "")</f>
        <v>RadioCon-7</v>
      </c>
      <c r="B10" s="183" t="s">
        <v>43</v>
      </c>
      <c r="C10" s="541" t="s">
        <v>1155</v>
      </c>
      <c r="D10" s="461"/>
      <c r="E10" s="186"/>
      <c r="F10" s="166"/>
      <c r="G10" s="137" t="s">
        <v>101</v>
      </c>
      <c r="H10" s="698">
        <f>COUNTIFS('Radio Console'!B:B,"=Critical",'Radio Console'!G:G,"=Exception")</f>
        <v>0</v>
      </c>
      <c r="I10" s="131">
        <f t="shared" si="0"/>
        <v>1</v>
      </c>
      <c r="J10" s="131">
        <f t="shared" si="1"/>
        <v>0</v>
      </c>
      <c r="K10" s="131">
        <f t="shared" si="2"/>
        <v>0</v>
      </c>
      <c r="L10" s="115">
        <v>1</v>
      </c>
    </row>
    <row r="11" spans="1:17" ht="30" customHeight="1" x14ac:dyDescent="0.3">
      <c r="A11" s="259" t="str">
        <f>IF(L11=1,"RadioCon-"&amp;TEXT(COUNTIF($L$3:L11, "1"), "0"), "")</f>
        <v>RadioCon-8</v>
      </c>
      <c r="B11" s="183" t="s">
        <v>43</v>
      </c>
      <c r="C11" s="320" t="s">
        <v>1156</v>
      </c>
      <c r="D11" s="461"/>
      <c r="E11" s="186"/>
      <c r="F11" s="166"/>
      <c r="G11" s="137" t="s">
        <v>101</v>
      </c>
      <c r="H11" s="709">
        <f>COUNTIFS('Radio Console'!B:B,"=Important",'Radio Console'!G:G,"=Select from Drop Down List")</f>
        <v>61</v>
      </c>
      <c r="I11" s="131">
        <f t="shared" si="0"/>
        <v>1</v>
      </c>
      <c r="J11" s="131">
        <f t="shared" si="1"/>
        <v>0</v>
      </c>
      <c r="K11" s="131">
        <f t="shared" si="2"/>
        <v>0</v>
      </c>
      <c r="L11" s="115">
        <v>1</v>
      </c>
    </row>
    <row r="12" spans="1:17" ht="30" customHeight="1" x14ac:dyDescent="0.3">
      <c r="A12" s="259" t="str">
        <f>IF(L12=1,"RadioCon-"&amp;TEXT(COUNTIF($L$3:L12, "1"), "0"), "")</f>
        <v>RadioCon-9</v>
      </c>
      <c r="B12" s="183" t="s">
        <v>43</v>
      </c>
      <c r="C12" s="320" t="s">
        <v>1157</v>
      </c>
      <c r="D12" s="185"/>
      <c r="E12" s="186"/>
      <c r="F12" s="166"/>
      <c r="G12" s="137" t="s">
        <v>101</v>
      </c>
      <c r="H12" s="709">
        <f>COUNTIFS('Radio Console'!B:B,"=Important",'Radio Console'!G:G,"=Function Available")</f>
        <v>0</v>
      </c>
      <c r="I12" s="131">
        <f t="shared" si="0"/>
        <v>1</v>
      </c>
      <c r="J12" s="131">
        <f t="shared" si="1"/>
        <v>0</v>
      </c>
      <c r="K12" s="131">
        <f t="shared" si="2"/>
        <v>0</v>
      </c>
      <c r="L12" s="115">
        <v>1</v>
      </c>
    </row>
    <row r="13" spans="1:17" ht="45" customHeight="1" x14ac:dyDescent="0.3">
      <c r="A13" s="259" t="str">
        <f>IF(L13=1,"RadioCon-"&amp;TEXT(COUNTIF($L$3:L13, "1"), "0"), "")</f>
        <v>RadioCon-10</v>
      </c>
      <c r="B13" s="183" t="s">
        <v>43</v>
      </c>
      <c r="C13" s="184" t="s">
        <v>1158</v>
      </c>
      <c r="D13" s="461"/>
      <c r="E13" s="186"/>
      <c r="F13" s="166"/>
      <c r="G13" s="137" t="s">
        <v>101</v>
      </c>
      <c r="H13" s="709">
        <f>COUNTIFS('Radio Console'!B:B,"=Important",'Radio Console'!G:G,"=Function Not Available")</f>
        <v>0</v>
      </c>
      <c r="I13" s="131">
        <f t="shared" si="0"/>
        <v>1</v>
      </c>
      <c r="J13" s="131">
        <f t="shared" si="1"/>
        <v>0</v>
      </c>
      <c r="K13" s="131">
        <f t="shared" si="2"/>
        <v>0</v>
      </c>
      <c r="L13" s="115">
        <v>1</v>
      </c>
    </row>
    <row r="14" spans="1:17" ht="31.2" x14ac:dyDescent="0.3">
      <c r="A14" s="259" t="str">
        <f>IF(L14=1,"RadioCon-"&amp;TEXT(COUNTIF($L$3:L14, "1"), "0"), "")</f>
        <v>RadioCon-11</v>
      </c>
      <c r="B14" s="183" t="s">
        <v>43</v>
      </c>
      <c r="C14" s="184" t="s">
        <v>1159</v>
      </c>
      <c r="D14" s="461"/>
      <c r="E14" s="186"/>
      <c r="F14" s="166"/>
      <c r="G14" s="137" t="s">
        <v>101</v>
      </c>
      <c r="H14" s="709">
        <f>COUNTIFS('Radio Console'!B:B,"=Important",'Radio Console'!G:G,"=Exception")</f>
        <v>0</v>
      </c>
      <c r="I14" s="131">
        <f t="shared" si="0"/>
        <v>1</v>
      </c>
      <c r="J14" s="131">
        <f t="shared" si="1"/>
        <v>0</v>
      </c>
      <c r="K14" s="131">
        <f t="shared" si="2"/>
        <v>0</v>
      </c>
      <c r="L14" s="115">
        <v>1</v>
      </c>
    </row>
    <row r="15" spans="1:17" ht="46.8" x14ac:dyDescent="0.3">
      <c r="A15" s="259" t="str">
        <f>IF(L15=1,"RadioCon-"&amp;TEXT(COUNTIF($L$3:L15, "1"), "0"), "")</f>
        <v>RadioCon-12</v>
      </c>
      <c r="B15" s="183" t="s">
        <v>43</v>
      </c>
      <c r="C15" s="184" t="s">
        <v>1160</v>
      </c>
      <c r="D15" s="185"/>
      <c r="E15" s="186"/>
      <c r="F15" s="166"/>
      <c r="G15" s="137" t="s">
        <v>101</v>
      </c>
      <c r="H15" s="712">
        <f>COUNTIFS('Radio Console'!B:B,"=Informational",'Radio Console'!G:G,"=Select from Drop Down List")</f>
        <v>1</v>
      </c>
      <c r="I15" s="131">
        <f t="shared" si="0"/>
        <v>1</v>
      </c>
      <c r="J15" s="131">
        <f t="shared" si="1"/>
        <v>0</v>
      </c>
      <c r="K15" s="131">
        <f t="shared" si="2"/>
        <v>0</v>
      </c>
      <c r="L15" s="115">
        <v>1</v>
      </c>
    </row>
    <row r="16" spans="1:17" ht="46.8" x14ac:dyDescent="0.3">
      <c r="A16" s="259" t="str">
        <f>IF(L16=1,"RadioCon-"&amp;TEXT(COUNTIF($L$3:L16, "1"), "0"), "")</f>
        <v>RadioCon-13</v>
      </c>
      <c r="B16" s="183" t="s">
        <v>43</v>
      </c>
      <c r="C16" s="184" t="s">
        <v>1161</v>
      </c>
      <c r="D16" s="185"/>
      <c r="E16" s="186"/>
      <c r="F16" s="166"/>
      <c r="G16" s="137" t="s">
        <v>101</v>
      </c>
      <c r="H16" s="712">
        <f>COUNTIFS('Radio Console'!B:B,"=Informational",'Radio Console'!G:G,"=Function Available")</f>
        <v>0</v>
      </c>
      <c r="I16" s="131">
        <f t="shared" si="0"/>
        <v>1</v>
      </c>
      <c r="J16" s="131">
        <f t="shared" si="1"/>
        <v>0</v>
      </c>
      <c r="K16" s="131">
        <f t="shared" si="2"/>
        <v>0</v>
      </c>
      <c r="L16" s="115">
        <v>1</v>
      </c>
    </row>
    <row r="17" spans="1:12" ht="30" customHeight="1" x14ac:dyDescent="0.3">
      <c r="A17" s="259" t="str">
        <f>IF(L17=1,"RadioCon-"&amp;TEXT(COUNTIF($L$3:L17, "1"), "0"), "")</f>
        <v>RadioCon-14</v>
      </c>
      <c r="B17" s="183" t="s">
        <v>43</v>
      </c>
      <c r="C17" s="184" t="s">
        <v>1162</v>
      </c>
      <c r="D17" s="461"/>
      <c r="E17" s="186"/>
      <c r="F17" s="166"/>
      <c r="G17" s="137" t="s">
        <v>101</v>
      </c>
      <c r="H17" s="712">
        <f>COUNTIFS('Radio Console'!B:B,"=Informational",'Radio Console'!G:G,"=Function Not Available")</f>
        <v>0</v>
      </c>
      <c r="I17" s="131">
        <f t="shared" si="0"/>
        <v>1</v>
      </c>
      <c r="J17" s="131">
        <f t="shared" si="1"/>
        <v>0</v>
      </c>
      <c r="K17" s="131">
        <f t="shared" si="2"/>
        <v>0</v>
      </c>
      <c r="L17" s="115">
        <v>1</v>
      </c>
    </row>
    <row r="18" spans="1:12" ht="30" customHeight="1" x14ac:dyDescent="0.3">
      <c r="A18" s="259" t="str">
        <f>IF(L18=1,"RadioCon-"&amp;TEXT(COUNTIF($L$3:L18, "1"), "0"), "")</f>
        <v>RadioCon-15</v>
      </c>
      <c r="B18" s="183" t="s">
        <v>43</v>
      </c>
      <c r="C18" s="184" t="s">
        <v>1163</v>
      </c>
      <c r="D18" s="461"/>
      <c r="E18" s="186"/>
      <c r="F18" s="166"/>
      <c r="G18" s="137" t="s">
        <v>101</v>
      </c>
      <c r="H18" s="712">
        <f>COUNTIFS('Radio Console'!B:B,"=Informational",'Radio Console'!G:G,"=Exception")</f>
        <v>0</v>
      </c>
      <c r="I18" s="131">
        <f t="shared" si="0"/>
        <v>1</v>
      </c>
      <c r="J18" s="131">
        <f t="shared" si="1"/>
        <v>0</v>
      </c>
      <c r="K18" s="131">
        <f t="shared" si="2"/>
        <v>0</v>
      </c>
      <c r="L18" s="115">
        <v>1</v>
      </c>
    </row>
    <row r="19" spans="1:12" ht="30" customHeight="1" x14ac:dyDescent="0.3">
      <c r="A19" s="259" t="str">
        <f>IF(L19=1,"RadioCon-"&amp;TEXT(COUNTIF($L$3:L19, "1"), "0"), "")</f>
        <v>RadioCon-16</v>
      </c>
      <c r="B19" s="183" t="s">
        <v>43</v>
      </c>
      <c r="C19" s="319" t="s">
        <v>1164</v>
      </c>
      <c r="D19" s="185"/>
      <c r="E19" s="186"/>
      <c r="F19" s="166"/>
      <c r="G19" s="137" t="s">
        <v>101</v>
      </c>
      <c r="H19" s="147">
        <f>COUNTIFS(B:B,"=Informational",G:G,"=Exception")</f>
        <v>0</v>
      </c>
      <c r="I19" s="131">
        <f t="shared" si="0"/>
        <v>1</v>
      </c>
      <c r="J19" s="131">
        <f t="shared" si="1"/>
        <v>0</v>
      </c>
      <c r="K19" s="131">
        <f t="shared" si="2"/>
        <v>0</v>
      </c>
      <c r="L19" s="115">
        <v>1</v>
      </c>
    </row>
    <row r="20" spans="1:12" ht="30" customHeight="1" x14ac:dyDescent="0.3">
      <c r="A20" s="259" t="str">
        <f>IF(L20=1,"RadioCon-"&amp;TEXT(COUNTIF($L$3:L20, "1"), "0"), "")</f>
        <v>RadioCon-17</v>
      </c>
      <c r="B20" s="183" t="s">
        <v>43</v>
      </c>
      <c r="C20" s="542" t="s">
        <v>1165</v>
      </c>
      <c r="D20" s="185"/>
      <c r="E20" s="186"/>
      <c r="F20" s="166"/>
      <c r="G20" s="137" t="s">
        <v>101</v>
      </c>
      <c r="I20" s="131">
        <f t="shared" si="0"/>
        <v>1</v>
      </c>
      <c r="J20" s="131">
        <f t="shared" si="1"/>
        <v>0</v>
      </c>
      <c r="K20" s="131">
        <f t="shared" si="2"/>
        <v>0</v>
      </c>
      <c r="L20" s="115">
        <v>1</v>
      </c>
    </row>
    <row r="21" spans="1:12" ht="30" customHeight="1" x14ac:dyDescent="0.3">
      <c r="A21" s="259" t="str">
        <f>IF(L21=1,"RadioCon-"&amp;TEXT(COUNTIF($L$3:L21, "1"), "0"), "")</f>
        <v>RadioCon-18</v>
      </c>
      <c r="B21" s="183" t="s">
        <v>43</v>
      </c>
      <c r="C21" s="184" t="s">
        <v>1166</v>
      </c>
      <c r="D21" s="461"/>
      <c r="E21" s="186"/>
      <c r="F21" s="166"/>
      <c r="G21" s="137" t="s">
        <v>101</v>
      </c>
      <c r="I21" s="131">
        <f t="shared" si="0"/>
        <v>1</v>
      </c>
      <c r="J21" s="131">
        <f t="shared" si="1"/>
        <v>0</v>
      </c>
      <c r="K21" s="131">
        <f t="shared" si="2"/>
        <v>0</v>
      </c>
      <c r="L21" s="115">
        <v>1</v>
      </c>
    </row>
    <row r="22" spans="1:12" ht="30" customHeight="1" x14ac:dyDescent="0.3">
      <c r="A22" s="259" t="str">
        <f>IF(L22=1,"RadioCon-"&amp;TEXT(COUNTIF($L$3:L22, "1"), "0"), "")</f>
        <v>RadioCon-19</v>
      </c>
      <c r="B22" s="183" t="s">
        <v>43</v>
      </c>
      <c r="C22" s="184" t="s">
        <v>1167</v>
      </c>
      <c r="D22" s="461"/>
      <c r="E22" s="186"/>
      <c r="F22" s="166"/>
      <c r="G22" s="137" t="s">
        <v>101</v>
      </c>
      <c r="I22" s="131">
        <f t="shared" si="0"/>
        <v>1</v>
      </c>
      <c r="J22" s="131">
        <f t="shared" si="1"/>
        <v>0</v>
      </c>
      <c r="K22" s="131">
        <f t="shared" si="2"/>
        <v>0</v>
      </c>
      <c r="L22" s="115">
        <v>1</v>
      </c>
    </row>
    <row r="23" spans="1:12" ht="30" customHeight="1" x14ac:dyDescent="0.3">
      <c r="A23" s="259" t="str">
        <f>IF(L23=1,"RadioCon-"&amp;TEXT(COUNTIF($L$3:L23, "1"), "0"), "")</f>
        <v>RadioCon-20</v>
      </c>
      <c r="B23" s="183" t="s">
        <v>43</v>
      </c>
      <c r="C23" s="184" t="s">
        <v>1168</v>
      </c>
      <c r="D23" s="461"/>
      <c r="E23" s="186"/>
      <c r="F23" s="166"/>
      <c r="G23" s="137" t="s">
        <v>101</v>
      </c>
      <c r="I23" s="131">
        <f t="shared" si="0"/>
        <v>1</v>
      </c>
      <c r="J23" s="131">
        <f t="shared" si="1"/>
        <v>0</v>
      </c>
      <c r="K23" s="131">
        <f t="shared" si="2"/>
        <v>0</v>
      </c>
      <c r="L23" s="115">
        <v>1</v>
      </c>
    </row>
    <row r="24" spans="1:12" ht="30" customHeight="1" x14ac:dyDescent="0.3">
      <c r="A24" s="259" t="str">
        <f>IF(L24=1,"RadioCon-"&amp;TEXT(COUNTIF($L$3:L24, "1"), "0"), "")</f>
        <v>RadioCon-21</v>
      </c>
      <c r="B24" s="183" t="s">
        <v>43</v>
      </c>
      <c r="C24" s="184" t="s">
        <v>1169</v>
      </c>
      <c r="D24" s="461"/>
      <c r="E24" s="186"/>
      <c r="F24" s="166"/>
      <c r="G24" s="137" t="s">
        <v>101</v>
      </c>
      <c r="I24" s="131">
        <f t="shared" si="0"/>
        <v>1</v>
      </c>
      <c r="J24" s="131">
        <f t="shared" si="1"/>
        <v>0</v>
      </c>
      <c r="K24" s="131">
        <f t="shared" si="2"/>
        <v>0</v>
      </c>
      <c r="L24" s="115">
        <v>1</v>
      </c>
    </row>
    <row r="25" spans="1:12" ht="30" customHeight="1" x14ac:dyDescent="0.3">
      <c r="A25" s="259" t="str">
        <f>IF(L25=1,"RadioCon-"&amp;TEXT(COUNTIF($L$3:L25, "1"), "0"), "")</f>
        <v>RadioCon-22</v>
      </c>
      <c r="B25" s="183" t="s">
        <v>43</v>
      </c>
      <c r="C25" s="184" t="s">
        <v>1170</v>
      </c>
      <c r="D25" s="461"/>
      <c r="E25" s="186"/>
      <c r="F25" s="166"/>
      <c r="G25" s="137" t="s">
        <v>101</v>
      </c>
      <c r="I25" s="131">
        <f t="shared" si="0"/>
        <v>1</v>
      </c>
      <c r="J25" s="131">
        <f t="shared" si="1"/>
        <v>0</v>
      </c>
      <c r="K25" s="131">
        <f t="shared" si="2"/>
        <v>0</v>
      </c>
      <c r="L25" s="115">
        <v>1</v>
      </c>
    </row>
    <row r="26" spans="1:12" ht="30" customHeight="1" x14ac:dyDescent="0.3">
      <c r="A26" s="259" t="str">
        <f>IF(L26=1,"RadioCon-"&amp;TEXT(COUNTIF($L$3:L26, "1"), "0"), "")</f>
        <v>RadioCon-23</v>
      </c>
      <c r="B26" s="183" t="s">
        <v>43</v>
      </c>
      <c r="C26" s="184" t="s">
        <v>1171</v>
      </c>
      <c r="D26" s="185"/>
      <c r="E26" s="186"/>
      <c r="F26" s="166"/>
      <c r="G26" s="137" t="s">
        <v>101</v>
      </c>
      <c r="I26" s="131">
        <f t="shared" si="0"/>
        <v>1</v>
      </c>
      <c r="J26" s="131">
        <f t="shared" si="1"/>
        <v>0</v>
      </c>
      <c r="K26" s="131">
        <f t="shared" si="2"/>
        <v>0</v>
      </c>
      <c r="L26" s="115">
        <v>1</v>
      </c>
    </row>
    <row r="27" spans="1:12" ht="30" customHeight="1" x14ac:dyDescent="0.3">
      <c r="A27" s="259" t="str">
        <f>IF(L27=1,"RadioCon-"&amp;TEXT(COUNTIF($L$3:L27, "1"), "0"), "")</f>
        <v>RadioCon-24</v>
      </c>
      <c r="B27" s="183" t="s">
        <v>43</v>
      </c>
      <c r="C27" s="184" t="s">
        <v>1172</v>
      </c>
      <c r="D27" s="185"/>
      <c r="E27" s="186"/>
      <c r="F27" s="166"/>
      <c r="G27" s="137" t="s">
        <v>101</v>
      </c>
      <c r="I27" s="131">
        <f t="shared" si="0"/>
        <v>1</v>
      </c>
      <c r="J27" s="131">
        <f t="shared" si="1"/>
        <v>0</v>
      </c>
      <c r="K27" s="131">
        <f t="shared" si="2"/>
        <v>0</v>
      </c>
      <c r="L27" s="115">
        <v>1</v>
      </c>
    </row>
    <row r="28" spans="1:12" ht="30" customHeight="1" x14ac:dyDescent="0.3">
      <c r="A28" s="259" t="str">
        <f>IF(L28=1,"RadioCon-"&amp;TEXT(COUNTIF($L$3:L28, "1"), "0"), "")</f>
        <v>RadioCon-25</v>
      </c>
      <c r="B28" s="183" t="s">
        <v>43</v>
      </c>
      <c r="C28" s="184" t="s">
        <v>1173</v>
      </c>
      <c r="D28" s="185"/>
      <c r="E28" s="186"/>
      <c r="F28" s="166"/>
      <c r="G28" s="137" t="s">
        <v>101</v>
      </c>
      <c r="I28" s="131">
        <f t="shared" si="0"/>
        <v>1</v>
      </c>
      <c r="J28" s="131">
        <f t="shared" si="1"/>
        <v>0</v>
      </c>
      <c r="K28" s="131">
        <f t="shared" si="2"/>
        <v>0</v>
      </c>
      <c r="L28" s="115">
        <v>1</v>
      </c>
    </row>
    <row r="29" spans="1:12" ht="30" customHeight="1" x14ac:dyDescent="0.3">
      <c r="A29" s="259" t="str">
        <f>IF(L29=1,"RadioCon-"&amp;TEXT(COUNTIF($L$3:L29, "1"), "0"), "")</f>
        <v>RadioCon-26</v>
      </c>
      <c r="B29" s="183" t="s">
        <v>43</v>
      </c>
      <c r="C29" s="184" t="s">
        <v>1174</v>
      </c>
      <c r="D29" s="185"/>
      <c r="E29" s="186"/>
      <c r="F29" s="166"/>
      <c r="G29" s="137" t="s">
        <v>101</v>
      </c>
      <c r="I29" s="131">
        <f t="shared" si="0"/>
        <v>1</v>
      </c>
      <c r="J29" s="131">
        <f t="shared" si="1"/>
        <v>0</v>
      </c>
      <c r="K29" s="131">
        <f t="shared" si="2"/>
        <v>0</v>
      </c>
      <c r="L29" s="115">
        <v>1</v>
      </c>
    </row>
    <row r="30" spans="1:12" ht="30" customHeight="1" x14ac:dyDescent="0.3">
      <c r="A30" s="259" t="str">
        <f>IF(L30=1,"RadioCon-"&amp;TEXT(COUNTIF($L$3:L30, "1"), "0"), "")</f>
        <v>RadioCon-27</v>
      </c>
      <c r="B30" s="183" t="s">
        <v>43</v>
      </c>
      <c r="C30" s="319" t="s">
        <v>1175</v>
      </c>
      <c r="D30" s="192"/>
      <c r="E30" s="172"/>
      <c r="F30" s="173"/>
      <c r="G30" s="137" t="s">
        <v>101</v>
      </c>
      <c r="I30" s="131">
        <f t="shared" si="0"/>
        <v>1</v>
      </c>
      <c r="J30" s="131">
        <f t="shared" si="1"/>
        <v>0</v>
      </c>
      <c r="K30" s="131">
        <f t="shared" si="2"/>
        <v>0</v>
      </c>
      <c r="L30" s="115">
        <v>1</v>
      </c>
    </row>
    <row r="31" spans="1:12" x14ac:dyDescent="0.3">
      <c r="A31" s="316"/>
      <c r="B31" s="126"/>
      <c r="C31" s="178" t="s">
        <v>1176</v>
      </c>
      <c r="D31" s="534"/>
      <c r="E31" s="180"/>
      <c r="F31" s="181"/>
      <c r="G31" s="849"/>
    </row>
    <row r="32" spans="1:12" ht="30" customHeight="1" x14ac:dyDescent="0.3">
      <c r="A32" s="259" t="str">
        <f>IF(L32=1,"RadioCon-"&amp;TEXT(COUNTIF($L$3:L32, "1"), "0"), "")</f>
        <v>RadioCon-28</v>
      </c>
      <c r="B32" s="133" t="s">
        <v>43</v>
      </c>
      <c r="C32" s="149" t="s">
        <v>400</v>
      </c>
      <c r="D32" s="150"/>
      <c r="E32" s="168"/>
      <c r="F32" s="137"/>
      <c r="G32" s="230" t="s">
        <v>101</v>
      </c>
      <c r="I32" s="131">
        <f t="shared" ref="I32:I66" si="3">IF(NOT(ISBLANK($B32)),VLOOKUP($B32,specdata,2,FALSE()),"")</f>
        <v>1</v>
      </c>
      <c r="J32" s="131">
        <f t="shared" ref="J32:J65" si="4">VLOOKUP(G32,AvailabilityData,2,FALSE())</f>
        <v>0</v>
      </c>
      <c r="K32" s="131">
        <f t="shared" ref="K32:K65" si="5">I32*J32</f>
        <v>0</v>
      </c>
      <c r="L32" s="115">
        <v>1</v>
      </c>
    </row>
    <row r="33" spans="1:13" ht="30" customHeight="1" x14ac:dyDescent="0.3">
      <c r="A33" s="259" t="str">
        <f>IF(L33=1,"RadioCon-"&amp;TEXT(COUNTIF($L$3:L33, "1"), "0"), "")</f>
        <v>RadioCon-29</v>
      </c>
      <c r="B33" s="183" t="s">
        <v>43</v>
      </c>
      <c r="C33" s="149" t="s">
        <v>1177</v>
      </c>
      <c r="D33" s="138"/>
      <c r="E33" s="168"/>
      <c r="F33" s="137"/>
      <c r="G33" s="230" t="s">
        <v>101</v>
      </c>
      <c r="I33" s="131">
        <f t="shared" si="3"/>
        <v>1</v>
      </c>
      <c r="J33" s="131">
        <f t="shared" si="4"/>
        <v>0</v>
      </c>
      <c r="K33" s="131">
        <f t="shared" si="5"/>
        <v>0</v>
      </c>
      <c r="L33" s="115">
        <v>1</v>
      </c>
    </row>
    <row r="34" spans="1:13" s="131" customFormat="1" ht="30" customHeight="1" x14ac:dyDescent="0.3">
      <c r="A34" s="259" t="str">
        <f>IF(L34=1,"RadioCon-"&amp;TEXT(COUNTIF($L$3:L34, "1"), "0"), "")</f>
        <v>RadioCon-30</v>
      </c>
      <c r="B34" s="133" t="s">
        <v>43</v>
      </c>
      <c r="C34" s="149" t="s">
        <v>1178</v>
      </c>
      <c r="D34" s="150"/>
      <c r="E34" s="168"/>
      <c r="F34" s="137"/>
      <c r="G34" s="187" t="s">
        <v>101</v>
      </c>
      <c r="I34" s="131">
        <f t="shared" si="3"/>
        <v>1</v>
      </c>
      <c r="J34" s="131">
        <f t="shared" si="4"/>
        <v>0</v>
      </c>
      <c r="K34" s="131">
        <f t="shared" si="5"/>
        <v>0</v>
      </c>
      <c r="L34" s="115">
        <v>1</v>
      </c>
      <c r="M34" s="115"/>
    </row>
    <row r="35" spans="1:13" s="131" customFormat="1" ht="30" customHeight="1" x14ac:dyDescent="0.3">
      <c r="A35" s="259" t="str">
        <f>IF(L35=1,"RadioCon-"&amp;TEXT(COUNTIF($L$3:L35, "1"), "0"), "")</f>
        <v>RadioCon-31</v>
      </c>
      <c r="B35" s="133" t="s">
        <v>43</v>
      </c>
      <c r="C35" s="149" t="s">
        <v>1179</v>
      </c>
      <c r="D35" s="150"/>
      <c r="E35" s="168"/>
      <c r="F35" s="137"/>
      <c r="G35" s="137" t="s">
        <v>101</v>
      </c>
      <c r="I35" s="131">
        <f t="shared" si="3"/>
        <v>1</v>
      </c>
      <c r="J35" s="131">
        <f t="shared" si="4"/>
        <v>0</v>
      </c>
      <c r="K35" s="131">
        <f t="shared" si="5"/>
        <v>0</v>
      </c>
      <c r="L35" s="115">
        <v>1</v>
      </c>
      <c r="M35" s="115"/>
    </row>
    <row r="36" spans="1:13" s="131" customFormat="1" ht="30" customHeight="1" x14ac:dyDescent="0.3">
      <c r="A36" s="259" t="str">
        <f>IF(L36=1,"RadioCon-"&amp;TEXT(COUNTIF($L$3:L36, "1"), "0"), "")</f>
        <v>RadioCon-32</v>
      </c>
      <c r="B36" s="133" t="s">
        <v>43</v>
      </c>
      <c r="C36" s="164" t="s">
        <v>1180</v>
      </c>
      <c r="D36" s="150"/>
      <c r="E36" s="168"/>
      <c r="F36" s="137"/>
      <c r="G36" s="137" t="s">
        <v>101</v>
      </c>
      <c r="I36" s="131">
        <f t="shared" si="3"/>
        <v>1</v>
      </c>
      <c r="J36" s="131">
        <f t="shared" si="4"/>
        <v>0</v>
      </c>
      <c r="K36" s="131">
        <f t="shared" si="5"/>
        <v>0</v>
      </c>
      <c r="L36" s="115">
        <v>1</v>
      </c>
      <c r="M36" s="115"/>
    </row>
    <row r="37" spans="1:13" s="131" customFormat="1" ht="30" customHeight="1" x14ac:dyDescent="0.3">
      <c r="A37" s="259" t="str">
        <f>IF(L37=1,"RadioCon-"&amp;TEXT(COUNTIF($L$3:L37, "1"), "0"), "")</f>
        <v>RadioCon-33</v>
      </c>
      <c r="B37" s="133" t="s">
        <v>43</v>
      </c>
      <c r="C37" s="164" t="s">
        <v>1181</v>
      </c>
      <c r="D37" s="150"/>
      <c r="E37" s="168"/>
      <c r="F37" s="137"/>
      <c r="G37" s="137" t="s">
        <v>101</v>
      </c>
      <c r="I37" s="131">
        <f t="shared" si="3"/>
        <v>1</v>
      </c>
      <c r="J37" s="131">
        <f t="shared" si="4"/>
        <v>0</v>
      </c>
      <c r="K37" s="131">
        <f t="shared" si="5"/>
        <v>0</v>
      </c>
      <c r="L37" s="115">
        <v>1</v>
      </c>
      <c r="M37" s="115"/>
    </row>
    <row r="38" spans="1:13" s="131" customFormat="1" ht="30" customHeight="1" x14ac:dyDescent="0.3">
      <c r="A38" s="259" t="str">
        <f>IF(L38=1,"RadioCon-"&amp;TEXT(COUNTIF($L$3:L38, "1"), "0"), "")</f>
        <v>RadioCon-34</v>
      </c>
      <c r="B38" s="183" t="s">
        <v>43</v>
      </c>
      <c r="C38" s="184" t="s">
        <v>1182</v>
      </c>
      <c r="D38" s="461"/>
      <c r="E38" s="186"/>
      <c r="F38" s="166"/>
      <c r="G38" s="137" t="s">
        <v>101</v>
      </c>
      <c r="I38" s="131">
        <f t="shared" si="3"/>
        <v>1</v>
      </c>
      <c r="J38" s="131">
        <f t="shared" si="4"/>
        <v>0</v>
      </c>
      <c r="K38" s="131">
        <f t="shared" si="5"/>
        <v>0</v>
      </c>
      <c r="L38" s="115">
        <v>1</v>
      </c>
      <c r="M38" s="115"/>
    </row>
    <row r="39" spans="1:13" s="131" customFormat="1" ht="30" customHeight="1" x14ac:dyDescent="0.3">
      <c r="A39" s="259" t="str">
        <f>IF(L39=1,"RadioCon-"&amp;TEXT(COUNTIF($L$3:L39, "1"), "0"), "")</f>
        <v>RadioCon-35</v>
      </c>
      <c r="B39" s="183" t="s">
        <v>43</v>
      </c>
      <c r="C39" s="184" t="s">
        <v>1183</v>
      </c>
      <c r="D39" s="461"/>
      <c r="E39" s="186"/>
      <c r="F39" s="166"/>
      <c r="G39" s="137" t="s">
        <v>101</v>
      </c>
      <c r="I39" s="131">
        <f t="shared" si="3"/>
        <v>1</v>
      </c>
      <c r="J39" s="131">
        <f t="shared" si="4"/>
        <v>0</v>
      </c>
      <c r="K39" s="131">
        <f t="shared" si="5"/>
        <v>0</v>
      </c>
      <c r="L39" s="115">
        <v>1</v>
      </c>
      <c r="M39" s="115"/>
    </row>
    <row r="40" spans="1:13" s="131" customFormat="1" ht="30" customHeight="1" x14ac:dyDescent="0.3">
      <c r="A40" s="259" t="str">
        <f>IF(L40=1,"RadioCon-"&amp;TEXT(COUNTIF($L$3:L40, "1"), "0"), "")</f>
        <v>RadioCon-36</v>
      </c>
      <c r="B40" s="183" t="s">
        <v>43</v>
      </c>
      <c r="C40" s="184" t="s">
        <v>1184</v>
      </c>
      <c r="D40" s="461"/>
      <c r="E40" s="186"/>
      <c r="F40" s="166"/>
      <c r="G40" s="137" t="s">
        <v>101</v>
      </c>
      <c r="I40" s="131">
        <f t="shared" si="3"/>
        <v>1</v>
      </c>
      <c r="J40" s="131">
        <f t="shared" si="4"/>
        <v>0</v>
      </c>
      <c r="K40" s="131">
        <f t="shared" si="5"/>
        <v>0</v>
      </c>
      <c r="L40" s="115">
        <v>1</v>
      </c>
      <c r="M40" s="115"/>
    </row>
    <row r="41" spans="1:13" s="131" customFormat="1" ht="30" customHeight="1" x14ac:dyDescent="0.3">
      <c r="A41" s="259" t="str">
        <f>IF(L41=1,"RadioCon-"&amp;TEXT(COUNTIF($L$3:L41, "1"), "0"), "")</f>
        <v>RadioCon-37</v>
      </c>
      <c r="B41" s="183" t="s">
        <v>43</v>
      </c>
      <c r="C41" s="184" t="s">
        <v>1185</v>
      </c>
      <c r="D41" s="461"/>
      <c r="E41" s="186"/>
      <c r="F41" s="166"/>
      <c r="G41" s="137" t="s">
        <v>101</v>
      </c>
      <c r="I41" s="131">
        <f t="shared" si="3"/>
        <v>1</v>
      </c>
      <c r="J41" s="131">
        <f t="shared" si="4"/>
        <v>0</v>
      </c>
      <c r="K41" s="131">
        <f t="shared" si="5"/>
        <v>0</v>
      </c>
      <c r="L41" s="115">
        <v>1</v>
      </c>
      <c r="M41" s="115"/>
    </row>
    <row r="42" spans="1:13" s="131" customFormat="1" ht="45" customHeight="1" x14ac:dyDescent="0.3">
      <c r="A42" s="259" t="str">
        <f>IF(L42=1,"RadioCon-"&amp;TEXT(COUNTIF($L$3:L42, "1"), "0"), "")</f>
        <v>RadioCon-38</v>
      </c>
      <c r="B42" s="183" t="s">
        <v>43</v>
      </c>
      <c r="C42" s="184" t="s">
        <v>1186</v>
      </c>
      <c r="D42" s="461"/>
      <c r="E42" s="186"/>
      <c r="F42" s="166"/>
      <c r="G42" s="137" t="s">
        <v>101</v>
      </c>
      <c r="I42" s="131">
        <f t="shared" si="3"/>
        <v>1</v>
      </c>
      <c r="J42" s="131">
        <f t="shared" si="4"/>
        <v>0</v>
      </c>
      <c r="K42" s="131">
        <f t="shared" si="5"/>
        <v>0</v>
      </c>
      <c r="L42" s="115">
        <v>1</v>
      </c>
      <c r="M42" s="115"/>
    </row>
    <row r="43" spans="1:13" s="131" customFormat="1" ht="30" customHeight="1" x14ac:dyDescent="0.3">
      <c r="A43" s="259" t="str">
        <f>IF(L43=1,"RadioCon-"&amp;TEXT(COUNTIF($L$3:L43, "1"), "0"), "")</f>
        <v>RadioCon-39</v>
      </c>
      <c r="B43" s="183" t="s">
        <v>43</v>
      </c>
      <c r="C43" s="184" t="s">
        <v>1187</v>
      </c>
      <c r="D43" s="461"/>
      <c r="E43" s="186"/>
      <c r="F43" s="166"/>
      <c r="G43" s="137" t="s">
        <v>101</v>
      </c>
      <c r="I43" s="131">
        <f t="shared" si="3"/>
        <v>1</v>
      </c>
      <c r="J43" s="131">
        <f t="shared" si="4"/>
        <v>0</v>
      </c>
      <c r="K43" s="131">
        <f t="shared" si="5"/>
        <v>0</v>
      </c>
      <c r="L43" s="115">
        <v>1</v>
      </c>
      <c r="M43" s="115"/>
    </row>
    <row r="44" spans="1:13" s="131" customFormat="1" ht="30" customHeight="1" x14ac:dyDescent="0.3">
      <c r="A44" s="259" t="str">
        <f>IF(L44=1,"RadioCon-"&amp;TEXT(COUNTIF($L$3:L44, "1"), "0"), "")</f>
        <v>RadioCon-40</v>
      </c>
      <c r="B44" s="183" t="s">
        <v>43</v>
      </c>
      <c r="C44" s="184" t="s">
        <v>1188</v>
      </c>
      <c r="D44" s="461"/>
      <c r="E44" s="186"/>
      <c r="F44" s="166"/>
      <c r="G44" s="137" t="s">
        <v>101</v>
      </c>
      <c r="I44" s="131">
        <f t="shared" si="3"/>
        <v>1</v>
      </c>
      <c r="J44" s="131">
        <f t="shared" si="4"/>
        <v>0</v>
      </c>
      <c r="K44" s="131">
        <f t="shared" si="5"/>
        <v>0</v>
      </c>
      <c r="L44" s="115">
        <v>1</v>
      </c>
      <c r="M44" s="115"/>
    </row>
    <row r="45" spans="1:13" s="131" customFormat="1" ht="30" customHeight="1" x14ac:dyDescent="0.3">
      <c r="A45" s="259" t="str">
        <f>IF(L45=1,"RadioCon-"&amp;TEXT(COUNTIF($L$3:L45, "1"), "0"), "")</f>
        <v>RadioCon-41</v>
      </c>
      <c r="B45" s="183" t="s">
        <v>43</v>
      </c>
      <c r="C45" s="184" t="s">
        <v>1189</v>
      </c>
      <c r="D45" s="461"/>
      <c r="E45" s="186"/>
      <c r="F45" s="166"/>
      <c r="G45" s="137" t="s">
        <v>101</v>
      </c>
      <c r="I45" s="131">
        <f t="shared" si="3"/>
        <v>1</v>
      </c>
      <c r="J45" s="131">
        <f t="shared" si="4"/>
        <v>0</v>
      </c>
      <c r="K45" s="131">
        <f t="shared" si="5"/>
        <v>0</v>
      </c>
      <c r="L45" s="115">
        <v>1</v>
      </c>
      <c r="M45" s="115"/>
    </row>
    <row r="46" spans="1:13" s="131" customFormat="1" ht="30" customHeight="1" x14ac:dyDescent="0.3">
      <c r="A46" s="259" t="str">
        <f>IF(L46=1,"RadioCon-"&amp;TEXT(COUNTIF($L$3:L46, "1"), "0"), "")</f>
        <v>RadioCon-42</v>
      </c>
      <c r="B46" s="183" t="s">
        <v>43</v>
      </c>
      <c r="C46" s="184" t="s">
        <v>1190</v>
      </c>
      <c r="D46" s="461"/>
      <c r="E46" s="186"/>
      <c r="F46" s="166"/>
      <c r="G46" s="137" t="s">
        <v>101</v>
      </c>
      <c r="I46" s="131">
        <f t="shared" si="3"/>
        <v>1</v>
      </c>
      <c r="J46" s="131">
        <f t="shared" si="4"/>
        <v>0</v>
      </c>
      <c r="K46" s="131">
        <f t="shared" si="5"/>
        <v>0</v>
      </c>
      <c r="L46" s="115">
        <v>1</v>
      </c>
      <c r="M46" s="115"/>
    </row>
    <row r="47" spans="1:13" s="131" customFormat="1" ht="30" customHeight="1" x14ac:dyDescent="0.3">
      <c r="A47" s="259" t="str">
        <f>IF(L47=1,"RadioCon-"&amp;TEXT(COUNTIF($L$3:L47, "1"), "0"), "")</f>
        <v>RadioCon-43</v>
      </c>
      <c r="B47" s="183" t="s">
        <v>43</v>
      </c>
      <c r="C47" s="184" t="s">
        <v>1191</v>
      </c>
      <c r="D47" s="185"/>
      <c r="E47" s="186"/>
      <c r="F47" s="166"/>
      <c r="G47" s="137" t="s">
        <v>101</v>
      </c>
      <c r="I47" s="131">
        <f t="shared" si="3"/>
        <v>1</v>
      </c>
      <c r="J47" s="131">
        <f t="shared" si="4"/>
        <v>0</v>
      </c>
      <c r="K47" s="131">
        <f t="shared" si="5"/>
        <v>0</v>
      </c>
      <c r="L47" s="115">
        <v>1</v>
      </c>
      <c r="M47" s="115"/>
    </row>
    <row r="48" spans="1:13" s="131" customFormat="1" ht="30" customHeight="1" x14ac:dyDescent="0.3">
      <c r="A48" s="259" t="str">
        <f>IF(L48=1,"RadioCon-"&amp;TEXT(COUNTIF($L$3:L48, "1"), "0"), "")</f>
        <v>RadioCon-44</v>
      </c>
      <c r="B48" s="183" t="s">
        <v>43</v>
      </c>
      <c r="C48" s="184" t="s">
        <v>1192</v>
      </c>
      <c r="D48" s="185"/>
      <c r="E48" s="186"/>
      <c r="F48" s="166"/>
      <c r="G48" s="137" t="s">
        <v>101</v>
      </c>
      <c r="I48" s="131">
        <f t="shared" si="3"/>
        <v>1</v>
      </c>
      <c r="J48" s="131">
        <f t="shared" si="4"/>
        <v>0</v>
      </c>
      <c r="K48" s="131">
        <f t="shared" si="5"/>
        <v>0</v>
      </c>
      <c r="L48" s="115">
        <v>1</v>
      </c>
      <c r="M48" s="115"/>
    </row>
    <row r="49" spans="1:13" s="131" customFormat="1" ht="30" customHeight="1" x14ac:dyDescent="0.3">
      <c r="A49" s="259" t="str">
        <f>IF(L49=1,"RadioCon-"&amp;TEXT(COUNTIF($L$3:L49, "1"), "0"), "")</f>
        <v>RadioCon-45</v>
      </c>
      <c r="B49" s="183" t="s">
        <v>43</v>
      </c>
      <c r="C49" s="184" t="s">
        <v>1193</v>
      </c>
      <c r="D49" s="461"/>
      <c r="E49" s="186"/>
      <c r="F49" s="166"/>
      <c r="G49" s="137" t="s">
        <v>101</v>
      </c>
      <c r="I49" s="131">
        <f t="shared" si="3"/>
        <v>1</v>
      </c>
      <c r="J49" s="131">
        <f t="shared" si="4"/>
        <v>0</v>
      </c>
      <c r="K49" s="131">
        <f t="shared" si="5"/>
        <v>0</v>
      </c>
      <c r="L49" s="115">
        <v>1</v>
      </c>
      <c r="M49" s="115"/>
    </row>
    <row r="50" spans="1:13" s="131" customFormat="1" ht="30" customHeight="1" x14ac:dyDescent="0.3">
      <c r="A50" s="259" t="str">
        <f>IF(L50=1,"RadioCon-"&amp;TEXT(COUNTIF($L$3:L50, "1"), "0"), "")</f>
        <v>RadioCon-46</v>
      </c>
      <c r="B50" s="183" t="s">
        <v>43</v>
      </c>
      <c r="C50" s="184" t="s">
        <v>1194</v>
      </c>
      <c r="D50" s="461"/>
      <c r="E50" s="186"/>
      <c r="F50" s="166"/>
      <c r="G50" s="137" t="s">
        <v>101</v>
      </c>
      <c r="I50" s="131">
        <f t="shared" si="3"/>
        <v>1</v>
      </c>
      <c r="J50" s="131">
        <f t="shared" si="4"/>
        <v>0</v>
      </c>
      <c r="K50" s="131">
        <f t="shared" si="5"/>
        <v>0</v>
      </c>
      <c r="L50" s="115">
        <v>1</v>
      </c>
      <c r="M50" s="115"/>
    </row>
    <row r="51" spans="1:13" s="131" customFormat="1" ht="30" customHeight="1" x14ac:dyDescent="0.3">
      <c r="A51" s="259" t="str">
        <f>IF(L51=1,"RadioCon-"&amp;TEXT(COUNTIF($L$3:L51, "1"), "0"), "")</f>
        <v>RadioCon-47</v>
      </c>
      <c r="B51" s="183" t="s">
        <v>43</v>
      </c>
      <c r="C51" s="184" t="s">
        <v>1195</v>
      </c>
      <c r="D51" s="461"/>
      <c r="E51" s="186"/>
      <c r="F51" s="166"/>
      <c r="G51" s="137" t="s">
        <v>101</v>
      </c>
      <c r="I51" s="131">
        <f t="shared" si="3"/>
        <v>1</v>
      </c>
      <c r="J51" s="131">
        <f t="shared" si="4"/>
        <v>0</v>
      </c>
      <c r="K51" s="131">
        <f t="shared" si="5"/>
        <v>0</v>
      </c>
      <c r="L51" s="115">
        <v>1</v>
      </c>
      <c r="M51" s="115"/>
    </row>
    <row r="52" spans="1:13" s="131" customFormat="1" ht="30" customHeight="1" x14ac:dyDescent="0.3">
      <c r="A52" s="259" t="str">
        <f>IF(L52=1,"RadioCon-"&amp;TEXT(COUNTIF($L$3:L52, "1"), "0"), "")</f>
        <v>RadioCon-48</v>
      </c>
      <c r="B52" s="183" t="s">
        <v>43</v>
      </c>
      <c r="C52" s="184" t="s">
        <v>1196</v>
      </c>
      <c r="D52" s="461"/>
      <c r="E52" s="186"/>
      <c r="F52" s="166"/>
      <c r="G52" s="137" t="s">
        <v>101</v>
      </c>
      <c r="I52" s="131">
        <f t="shared" si="3"/>
        <v>1</v>
      </c>
      <c r="J52" s="131">
        <f t="shared" si="4"/>
        <v>0</v>
      </c>
      <c r="K52" s="131">
        <f t="shared" si="5"/>
        <v>0</v>
      </c>
      <c r="L52" s="115">
        <v>1</v>
      </c>
      <c r="M52" s="115"/>
    </row>
    <row r="53" spans="1:13" s="131" customFormat="1" ht="30" customHeight="1" x14ac:dyDescent="0.3">
      <c r="A53" s="259" t="str">
        <f>IF(L53=1,"RadioCon-"&amp;TEXT(COUNTIF($L$3:L53, "1"), "0"), "")</f>
        <v>RadioCon-49</v>
      </c>
      <c r="B53" s="183" t="s">
        <v>43</v>
      </c>
      <c r="C53" s="184" t="s">
        <v>1197</v>
      </c>
      <c r="D53" s="461"/>
      <c r="E53" s="186"/>
      <c r="F53" s="166"/>
      <c r="G53" s="137" t="s">
        <v>101</v>
      </c>
      <c r="I53" s="131">
        <f t="shared" si="3"/>
        <v>1</v>
      </c>
      <c r="J53" s="131">
        <f t="shared" si="4"/>
        <v>0</v>
      </c>
      <c r="K53" s="131">
        <f t="shared" si="5"/>
        <v>0</v>
      </c>
      <c r="L53" s="115">
        <v>1</v>
      </c>
      <c r="M53" s="115"/>
    </row>
    <row r="54" spans="1:13" s="131" customFormat="1" ht="30" customHeight="1" x14ac:dyDescent="0.3">
      <c r="A54" s="259" t="str">
        <f>IF(L54=1,"RadioCon-"&amp;TEXT(COUNTIF($L$3:L54, "1"), "0"), "")</f>
        <v>RadioCon-50</v>
      </c>
      <c r="B54" s="183" t="s">
        <v>43</v>
      </c>
      <c r="C54" s="184" t="s">
        <v>1198</v>
      </c>
      <c r="D54" s="461"/>
      <c r="E54" s="186"/>
      <c r="F54" s="166"/>
      <c r="G54" s="137" t="s">
        <v>101</v>
      </c>
      <c r="I54" s="131">
        <f t="shared" si="3"/>
        <v>1</v>
      </c>
      <c r="J54" s="131">
        <f t="shared" si="4"/>
        <v>0</v>
      </c>
      <c r="K54" s="131">
        <f t="shared" si="5"/>
        <v>0</v>
      </c>
      <c r="L54" s="115">
        <v>1</v>
      </c>
      <c r="M54" s="115"/>
    </row>
    <row r="55" spans="1:13" s="131" customFormat="1" ht="30" customHeight="1" x14ac:dyDescent="0.3">
      <c r="A55" s="259" t="str">
        <f>IF(L55=1,"RadioCon-"&amp;TEXT(COUNTIF($L$3:L55, "1"), "0"), "")</f>
        <v>RadioCon-51</v>
      </c>
      <c r="B55" s="183" t="s">
        <v>43</v>
      </c>
      <c r="C55" s="184" t="s">
        <v>1199</v>
      </c>
      <c r="D55" s="461"/>
      <c r="E55" s="186"/>
      <c r="F55" s="166"/>
      <c r="G55" s="137" t="s">
        <v>101</v>
      </c>
      <c r="I55" s="131">
        <f t="shared" si="3"/>
        <v>1</v>
      </c>
      <c r="J55" s="131">
        <f t="shared" si="4"/>
        <v>0</v>
      </c>
      <c r="K55" s="131">
        <f t="shared" si="5"/>
        <v>0</v>
      </c>
      <c r="L55" s="115">
        <v>1</v>
      </c>
      <c r="M55" s="115"/>
    </row>
    <row r="56" spans="1:13" s="131" customFormat="1" ht="30" customHeight="1" x14ac:dyDescent="0.3">
      <c r="A56" s="259" t="str">
        <f>IF(L56=1,"RadioCon-"&amp;TEXT(COUNTIF($L$3:L56, "1"), "0"), "")</f>
        <v>RadioCon-52</v>
      </c>
      <c r="B56" s="183" t="s">
        <v>43</v>
      </c>
      <c r="C56" s="184" t="s">
        <v>1200</v>
      </c>
      <c r="D56" s="461"/>
      <c r="E56" s="186"/>
      <c r="F56" s="166"/>
      <c r="G56" s="137" t="s">
        <v>101</v>
      </c>
      <c r="I56" s="131">
        <f t="shared" si="3"/>
        <v>1</v>
      </c>
      <c r="J56" s="131">
        <f t="shared" si="4"/>
        <v>0</v>
      </c>
      <c r="K56" s="131">
        <f t="shared" si="5"/>
        <v>0</v>
      </c>
      <c r="L56" s="115">
        <v>1</v>
      </c>
      <c r="M56" s="115"/>
    </row>
    <row r="57" spans="1:13" s="131" customFormat="1" ht="30" customHeight="1" x14ac:dyDescent="0.3">
      <c r="A57" s="259" t="str">
        <f>IF(L57=1,"RadioCon-"&amp;TEXT(COUNTIF($L$3:L57, "1"), "0"), "")</f>
        <v>RadioCon-53</v>
      </c>
      <c r="B57" s="183" t="s">
        <v>43</v>
      </c>
      <c r="C57" s="184" t="s">
        <v>1201</v>
      </c>
      <c r="D57" s="461"/>
      <c r="E57" s="186"/>
      <c r="F57" s="166"/>
      <c r="G57" s="137" t="s">
        <v>101</v>
      </c>
      <c r="I57" s="131">
        <f t="shared" si="3"/>
        <v>1</v>
      </c>
      <c r="J57" s="131">
        <f t="shared" si="4"/>
        <v>0</v>
      </c>
      <c r="K57" s="131">
        <f t="shared" si="5"/>
        <v>0</v>
      </c>
      <c r="L57" s="115">
        <v>1</v>
      </c>
      <c r="M57" s="115"/>
    </row>
    <row r="58" spans="1:13" s="131" customFormat="1" ht="30" customHeight="1" x14ac:dyDescent="0.3">
      <c r="A58" s="259" t="str">
        <f>IF(L58=1,"RadioCon-"&amp;TEXT(COUNTIF($L$3:L58, "1"), "0"), "")</f>
        <v>RadioCon-54</v>
      </c>
      <c r="B58" s="183" t="s">
        <v>43</v>
      </c>
      <c r="C58" s="184" t="s">
        <v>1202</v>
      </c>
      <c r="D58" s="185"/>
      <c r="E58" s="186"/>
      <c r="F58" s="166"/>
      <c r="G58" s="137" t="s">
        <v>101</v>
      </c>
      <c r="I58" s="131">
        <f t="shared" si="3"/>
        <v>1</v>
      </c>
      <c r="J58" s="131">
        <f t="shared" si="4"/>
        <v>0</v>
      </c>
      <c r="K58" s="131">
        <f t="shared" si="5"/>
        <v>0</v>
      </c>
      <c r="L58" s="115">
        <v>1</v>
      </c>
      <c r="M58" s="115"/>
    </row>
    <row r="59" spans="1:13" s="131" customFormat="1" ht="59.25" customHeight="1" x14ac:dyDescent="0.3">
      <c r="A59" s="259" t="str">
        <f>IF(L59=1,"RadioCon-"&amp;TEXT(COUNTIF($L$3:L59, "1"), "0"), "")</f>
        <v>RadioCon-55</v>
      </c>
      <c r="B59" s="183" t="s">
        <v>43</v>
      </c>
      <c r="C59" s="184" t="s">
        <v>1203</v>
      </c>
      <c r="D59" s="185"/>
      <c r="E59" s="186"/>
      <c r="F59" s="166"/>
      <c r="G59" s="137" t="s">
        <v>101</v>
      </c>
      <c r="I59" s="131">
        <f t="shared" si="3"/>
        <v>1</v>
      </c>
      <c r="J59" s="131">
        <f t="shared" si="4"/>
        <v>0</v>
      </c>
      <c r="K59" s="131">
        <f t="shared" si="5"/>
        <v>0</v>
      </c>
      <c r="L59" s="115">
        <v>1</v>
      </c>
      <c r="M59" s="115"/>
    </row>
    <row r="60" spans="1:13" ht="46.8" x14ac:dyDescent="0.3">
      <c r="A60" s="259" t="str">
        <f>IF(L60=1,"RadioCon-"&amp;TEXT(COUNTIF($L$3:L60, "1"), "0"), "")</f>
        <v>RadioCon-56</v>
      </c>
      <c r="B60" s="183" t="s">
        <v>43</v>
      </c>
      <c r="C60" s="184" t="s">
        <v>1204</v>
      </c>
      <c r="D60" s="185"/>
      <c r="E60" s="186"/>
      <c r="F60" s="166"/>
      <c r="G60" s="137" t="s">
        <v>101</v>
      </c>
      <c r="I60" s="131">
        <f t="shared" si="3"/>
        <v>1</v>
      </c>
      <c r="J60" s="131">
        <f t="shared" si="4"/>
        <v>0</v>
      </c>
      <c r="K60" s="131">
        <f t="shared" si="5"/>
        <v>0</v>
      </c>
      <c r="L60" s="115">
        <v>1</v>
      </c>
    </row>
    <row r="61" spans="1:13" ht="30" customHeight="1" x14ac:dyDescent="0.3">
      <c r="A61" s="259" t="str">
        <f>IF(L61=1,"RadioCon-"&amp;TEXT(COUNTIF($L$3:L61, "1"), "0"), "")</f>
        <v>RadioCon-57</v>
      </c>
      <c r="B61" s="183" t="s">
        <v>43</v>
      </c>
      <c r="C61" s="184" t="s">
        <v>1205</v>
      </c>
      <c r="D61" s="461"/>
      <c r="E61" s="186"/>
      <c r="F61" s="166"/>
      <c r="G61" s="137" t="s">
        <v>101</v>
      </c>
      <c r="I61" s="131">
        <f t="shared" si="3"/>
        <v>1</v>
      </c>
      <c r="J61" s="131">
        <f t="shared" si="4"/>
        <v>0</v>
      </c>
      <c r="K61" s="131">
        <f t="shared" si="5"/>
        <v>0</v>
      </c>
      <c r="L61" s="115">
        <v>1</v>
      </c>
    </row>
    <row r="62" spans="1:13" ht="31.2" x14ac:dyDescent="0.3">
      <c r="A62" s="259" t="str">
        <f>IF(L62=1,"RadioCon-"&amp;TEXT(COUNTIF($L$3:L62, "1"), "0"), "")</f>
        <v>RadioCon-58</v>
      </c>
      <c r="B62" s="183" t="s">
        <v>43</v>
      </c>
      <c r="C62" s="184" t="s">
        <v>1206</v>
      </c>
      <c r="D62" s="461"/>
      <c r="E62" s="186"/>
      <c r="F62" s="166"/>
      <c r="G62" s="137" t="s">
        <v>101</v>
      </c>
      <c r="I62" s="131">
        <f t="shared" si="3"/>
        <v>1</v>
      </c>
      <c r="J62" s="131">
        <f t="shared" si="4"/>
        <v>0</v>
      </c>
      <c r="K62" s="131">
        <f t="shared" si="5"/>
        <v>0</v>
      </c>
      <c r="L62" s="115">
        <v>1</v>
      </c>
    </row>
    <row r="63" spans="1:13" ht="31.2" x14ac:dyDescent="0.3">
      <c r="A63" s="259" t="str">
        <f>IF(L63=1,"RadioCon-"&amp;TEXT(COUNTIF($L$3:L63, "1"), "0"), "")</f>
        <v>RadioCon-59</v>
      </c>
      <c r="B63" s="183" t="s">
        <v>43</v>
      </c>
      <c r="C63" s="184" t="s">
        <v>1207</v>
      </c>
      <c r="D63" s="461"/>
      <c r="E63" s="186"/>
      <c r="F63" s="166"/>
      <c r="G63" s="137" t="s">
        <v>101</v>
      </c>
      <c r="I63" s="131">
        <f t="shared" si="3"/>
        <v>1</v>
      </c>
      <c r="J63" s="131">
        <f t="shared" si="4"/>
        <v>0</v>
      </c>
      <c r="K63" s="131">
        <f t="shared" si="5"/>
        <v>0</v>
      </c>
      <c r="L63" s="115">
        <v>1</v>
      </c>
    </row>
    <row r="64" spans="1:13" ht="31.2" x14ac:dyDescent="0.3">
      <c r="A64" s="259" t="str">
        <f>IF(L64=1,"RadioCon-"&amp;TEXT(COUNTIF($L$3:L64, "1"), "0"), "")</f>
        <v>RadioCon-60</v>
      </c>
      <c r="B64" s="183" t="s">
        <v>43</v>
      </c>
      <c r="C64" s="319" t="s">
        <v>1208</v>
      </c>
      <c r="D64" s="461"/>
      <c r="E64" s="186"/>
      <c r="F64" s="166"/>
      <c r="G64" s="137" t="s">
        <v>101</v>
      </c>
      <c r="I64" s="131">
        <f t="shared" si="3"/>
        <v>1</v>
      </c>
      <c r="J64" s="131">
        <f t="shared" si="4"/>
        <v>0</v>
      </c>
      <c r="K64" s="131">
        <f t="shared" si="5"/>
        <v>0</v>
      </c>
      <c r="L64" s="115">
        <v>1</v>
      </c>
    </row>
    <row r="65" spans="1:12" ht="46.8" x14ac:dyDescent="0.3">
      <c r="A65" s="259" t="str">
        <f>IF(L65=1,"RadioCon-"&amp;TEXT(COUNTIF($L$3:L65, "1"), "0"), "")</f>
        <v>RadioCon-61</v>
      </c>
      <c r="B65" s="183" t="s">
        <v>43</v>
      </c>
      <c r="C65" s="542" t="s">
        <v>1209</v>
      </c>
      <c r="D65" s="461"/>
      <c r="E65" s="186"/>
      <c r="F65" s="166"/>
      <c r="G65" s="137" t="s">
        <v>101</v>
      </c>
      <c r="I65" s="131">
        <f t="shared" si="3"/>
        <v>1</v>
      </c>
      <c r="J65" s="131">
        <f t="shared" si="4"/>
        <v>0</v>
      </c>
      <c r="K65" s="131">
        <f t="shared" si="5"/>
        <v>0</v>
      </c>
      <c r="L65" s="115">
        <v>1</v>
      </c>
    </row>
    <row r="66" spans="1:12" ht="30" customHeight="1" x14ac:dyDescent="0.3">
      <c r="A66" s="259" t="str">
        <f>IF(L66=1,"RadioCon-"&amp;TEXT(COUNTIF($L$3:L66, "1"), "0"), "")</f>
        <v>RadioCon-62</v>
      </c>
      <c r="B66" s="183" t="s">
        <v>43</v>
      </c>
      <c r="C66" s="184" t="s">
        <v>1210</v>
      </c>
      <c r="D66" s="461"/>
      <c r="E66" s="186"/>
      <c r="F66" s="166"/>
      <c r="G66" s="137" t="s">
        <v>101</v>
      </c>
      <c r="I66" s="131">
        <f t="shared" si="3"/>
        <v>1</v>
      </c>
      <c r="J66" s="131">
        <f t="shared" ref="J66" si="6">VLOOKUP(G66,AvailabilityData,2,FALSE())</f>
        <v>0</v>
      </c>
      <c r="K66" s="131">
        <f t="shared" ref="K66" si="7">I66*J66</f>
        <v>0</v>
      </c>
      <c r="L66" s="115">
        <v>1</v>
      </c>
    </row>
  </sheetData>
  <sheetProtection algorithmName="SHA-512" hashValue="8WgNU6NGMDbRK1P34eDTGOoD/PVDnQhYURjRDRaZNm7hsbnkrIw7r1FxeVWj6OlpL2lfkgO/vX99mKg+lQe23Q==" saltValue="R4spgimkK7lPJkNiyjpXzg==" spinCount="100000" sheet="1" objects="1" scenarios="1"/>
  <mergeCells count="1">
    <mergeCell ref="O3:Q7"/>
  </mergeCells>
  <conditionalFormatting sqref="B1:B1048576">
    <cfRule type="cellIs" dxfId="94" priority="2" operator="equal">
      <formula>"Informational"</formula>
    </cfRule>
    <cfRule type="cellIs" dxfId="93" priority="3" operator="equal">
      <formula>"Not Needed"</formula>
    </cfRule>
    <cfRule type="cellIs" dxfId="92" priority="4" operator="equal">
      <formula>"Critical"</formula>
    </cfRule>
    <cfRule type="cellIs" dxfId="91" priority="5" operator="equal">
      <formula>"Extremely Advantageous"</formula>
    </cfRule>
  </conditionalFormatting>
  <conditionalFormatting sqref="G1:G1048576">
    <cfRule type="cellIs" dxfId="90" priority="6" operator="equal">
      <formula>"Exception"</formula>
    </cfRule>
  </conditionalFormatting>
  <conditionalFormatting sqref="G3:G66">
    <cfRule type="cellIs" dxfId="89"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66" xr:uid="{00000000-0002-0000-2A00-000000000000}">
      <formula1>SpecType</formula1>
      <formula2>0</formula2>
    </dataValidation>
    <dataValidation type="list" allowBlank="1" showInputMessage="1" showErrorMessage="1" sqref="G3:G5 G7:G30 G32:G66" xr:uid="{00000000-0002-0000-2A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50"/>
    <pageSetUpPr fitToPage="1"/>
  </sheetPr>
  <dimension ref="A1:Q174"/>
  <sheetViews>
    <sheetView zoomScaleNormal="100" zoomScalePageLayoutView="80" workbookViewId="0">
      <selection activeCell="D3" sqref="D3"/>
    </sheetView>
  </sheetViews>
  <sheetFormatPr defaultColWidth="9" defaultRowHeight="15.6" x14ac:dyDescent="0.3"/>
  <cols>
    <col min="1" max="1" width="10.59765625" style="113" customWidth="1"/>
    <col min="2" max="2" width="14.59765625" style="113" customWidth="1"/>
    <col min="3" max="3" width="65.59765625" style="261" customWidth="1"/>
    <col min="4" max="4" width="65.59765625" style="115" customWidth="1"/>
    <col min="5" max="5" width="10.59765625" style="115" hidden="1" customWidth="1"/>
    <col min="6" max="6" width="6.59765625" style="115" hidden="1" customWidth="1"/>
    <col min="7" max="7" width="30.59765625" style="115" customWidth="1"/>
    <col min="8" max="11" width="8.59765625" style="131" hidden="1" customWidth="1"/>
    <col min="12" max="12" width="0" style="115" hidden="1" customWidth="1"/>
    <col min="13" max="16384" width="9" style="115"/>
  </cols>
  <sheetData>
    <row r="1" spans="1:17" s="124" customFormat="1" ht="105" customHeight="1" thickBot="1" x14ac:dyDescent="0.3">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123" t="str">
        <f>'Support Data'!A30</f>
        <v>adjust to</v>
      </c>
      <c r="I1" s="123" t="str">
        <f>'Support Data'!A25</f>
        <v>Spec Weight</v>
      </c>
      <c r="J1" s="123" t="str">
        <f>'Support Data'!A26</f>
        <v>Avail Weight</v>
      </c>
      <c r="K1" s="123" t="str">
        <f>'Support Data'!A27</f>
        <v>Score</v>
      </c>
      <c r="L1" s="123" t="s">
        <v>104</v>
      </c>
      <c r="M1" s="838"/>
    </row>
    <row r="2" spans="1:17" s="118" customFormat="1" x14ac:dyDescent="0.3">
      <c r="A2" s="125" t="s">
        <v>1211</v>
      </c>
      <c r="B2" s="445"/>
      <c r="C2" s="459"/>
      <c r="D2" s="447"/>
      <c r="E2" s="447"/>
      <c r="F2" s="447"/>
      <c r="G2" s="844"/>
      <c r="H2" s="131">
        <f>COUNTA(B3:B33)</f>
        <v>20</v>
      </c>
      <c r="I2" s="117"/>
      <c r="J2" s="117"/>
      <c r="K2" s="131">
        <f>SUM(K3:K27)</f>
        <v>0</v>
      </c>
    </row>
    <row r="3" spans="1:17" ht="29.4" customHeight="1" x14ac:dyDescent="0.3">
      <c r="A3" s="163" t="str">
        <f>IF(L3=1,"RadioGPS-"&amp;TEXT(COUNTIF($L$3:L3, "1"), "0"), "")</f>
        <v>RadioGPS-1</v>
      </c>
      <c r="B3" s="169" t="s">
        <v>45</v>
      </c>
      <c r="C3" s="164" t="s">
        <v>1212</v>
      </c>
      <c r="D3" s="138"/>
      <c r="E3" s="186"/>
      <c r="F3" s="166">
        <v>1</v>
      </c>
      <c r="G3" s="137" t="s">
        <v>101</v>
      </c>
      <c r="H3" s="131">
        <f>COUNTIF(G:G,"=Select from Drop Down List")</f>
        <v>20</v>
      </c>
      <c r="I3" s="131">
        <f>IF(NOT(ISBLANK($B3)),VLOOKUP($B3,specdata,2,FALSE()),"")</f>
        <v>0</v>
      </c>
      <c r="J3" s="131">
        <f>VLOOKUP(G3,AvailabilityData,2,FALSE())</f>
        <v>0</v>
      </c>
      <c r="K3" s="131">
        <f>I3*J3</f>
        <v>0</v>
      </c>
      <c r="L3" s="115">
        <v>1</v>
      </c>
      <c r="O3" s="857"/>
      <c r="P3" s="857"/>
      <c r="Q3" s="857"/>
    </row>
    <row r="4" spans="1:17" ht="45" customHeight="1" x14ac:dyDescent="0.3">
      <c r="A4" s="163" t="str">
        <f>IF(L4=1,"RadioGPS-"&amp;TEXT(COUNTIF($L$3:L4, "1"), "0"), "")</f>
        <v>RadioGPS-2</v>
      </c>
      <c r="B4" s="169" t="s">
        <v>45</v>
      </c>
      <c r="C4" s="164" t="s">
        <v>1213</v>
      </c>
      <c r="D4" s="138"/>
      <c r="E4" s="172"/>
      <c r="F4" s="166">
        <v>1</v>
      </c>
      <c r="G4" s="137" t="s">
        <v>101</v>
      </c>
      <c r="H4" s="131">
        <f>COUNTIF(G:G,"=Function Available")</f>
        <v>0</v>
      </c>
      <c r="I4" s="131">
        <f>IF(NOT(ISBLANK($B4)),VLOOKUP($B4,specdata,2,FALSE()),"")</f>
        <v>0</v>
      </c>
      <c r="J4" s="131">
        <f>VLOOKUP(G4,AvailabilityData,2,FALSE())</f>
        <v>0</v>
      </c>
      <c r="K4" s="131">
        <f>I4*J4</f>
        <v>0</v>
      </c>
      <c r="L4" s="115">
        <v>1</v>
      </c>
      <c r="O4" s="857"/>
      <c r="P4" s="857"/>
      <c r="Q4" s="857"/>
    </row>
    <row r="5" spans="1:17" ht="30" customHeight="1" x14ac:dyDescent="0.3">
      <c r="A5" s="163" t="str">
        <f>IF(L5=1,"RadioGPS-"&amp;TEXT(COUNTIF($L$3:L5, "1"), "0"), "")</f>
        <v>RadioGPS-3</v>
      </c>
      <c r="B5" s="169" t="s">
        <v>43</v>
      </c>
      <c r="C5" s="164" t="s">
        <v>1214</v>
      </c>
      <c r="D5" s="138"/>
      <c r="E5" s="168"/>
      <c r="F5" s="166">
        <v>1</v>
      </c>
      <c r="G5" s="137" t="s">
        <v>101</v>
      </c>
      <c r="H5" s="131">
        <f>COUNTIF(F:G,"=Function Not Available")</f>
        <v>0</v>
      </c>
      <c r="I5" s="131">
        <f>IF(NOT(ISBLANK($B5)),VLOOKUP($B5,specdata,2,FALSE()),"")</f>
        <v>1</v>
      </c>
      <c r="J5" s="131">
        <f>VLOOKUP(G5,AvailabilityData,2,FALSE())</f>
        <v>0</v>
      </c>
      <c r="K5" s="131">
        <f>I5*J5</f>
        <v>0</v>
      </c>
      <c r="L5" s="115">
        <v>1</v>
      </c>
      <c r="O5" s="857"/>
      <c r="P5" s="857"/>
      <c r="Q5" s="857"/>
    </row>
    <row r="6" spans="1:17" ht="30" customHeight="1" x14ac:dyDescent="0.3">
      <c r="A6" s="163" t="str">
        <f>IF(L6=1,"RadioGPS-"&amp;TEXT(COUNTIF($L$3:L6, "1"), "0"), "")</f>
        <v>RadioGPS-4</v>
      </c>
      <c r="B6" s="169" t="s">
        <v>43</v>
      </c>
      <c r="C6" s="170" t="s">
        <v>1215</v>
      </c>
      <c r="D6" s="171"/>
      <c r="E6" s="172"/>
      <c r="F6" s="173">
        <v>1</v>
      </c>
      <c r="G6" s="137" t="s">
        <v>101</v>
      </c>
      <c r="H6" s="131">
        <f>COUNTIF(G:G,"=Exception")</f>
        <v>0</v>
      </c>
      <c r="I6" s="131">
        <f>IF(NOT(ISBLANK($B6)),VLOOKUP($B6,specdata,2,FALSE()),"")</f>
        <v>1</v>
      </c>
      <c r="J6" s="131">
        <f>VLOOKUP(G6,AvailabilityData,2,FALSE())</f>
        <v>0</v>
      </c>
      <c r="K6" s="131">
        <f>I6*J6</f>
        <v>0</v>
      </c>
      <c r="L6" s="115">
        <v>1</v>
      </c>
    </row>
    <row r="7" spans="1:17" ht="30" customHeight="1" x14ac:dyDescent="0.3">
      <c r="A7" s="316"/>
      <c r="B7" s="126"/>
      <c r="C7" s="178" t="s">
        <v>1216</v>
      </c>
      <c r="D7" s="179"/>
      <c r="E7" s="180"/>
      <c r="F7" s="181"/>
      <c r="G7" s="849"/>
      <c r="H7" s="140">
        <f>COUNTIFS(B:B,"=Critical",G:G,"=Select from Drop Down List")</f>
        <v>0</v>
      </c>
    </row>
    <row r="8" spans="1:17" ht="30" customHeight="1" x14ac:dyDescent="0.3">
      <c r="A8" s="163" t="str">
        <f>IF(L8=1,"RadioGPS-"&amp;TEXT(COUNTIF($L$3:L8, "1"), "0"), "")</f>
        <v>RadioGPS-5</v>
      </c>
      <c r="B8" s="183" t="s">
        <v>43</v>
      </c>
      <c r="C8" s="278" t="s">
        <v>1217</v>
      </c>
      <c r="D8" s="270"/>
      <c r="E8" s="186"/>
      <c r="F8" s="187">
        <v>1</v>
      </c>
      <c r="G8" s="249" t="s">
        <v>101</v>
      </c>
      <c r="H8" s="140">
        <f>COUNTIFS(B:B,"=Critical",G:G,"=Function Available")</f>
        <v>0</v>
      </c>
      <c r="I8" s="131">
        <f>IF(NOT(ISBLANK($B8)),VLOOKUP($B8,specdata,2,FALSE()),"")</f>
        <v>1</v>
      </c>
      <c r="J8" s="131">
        <f>VLOOKUP(G8,AvailabilityData,2,FALSE())</f>
        <v>0</v>
      </c>
      <c r="K8" s="131">
        <f>I8*J8</f>
        <v>0</v>
      </c>
      <c r="L8" s="115">
        <v>1</v>
      </c>
    </row>
    <row r="9" spans="1:17" ht="30" customHeight="1" x14ac:dyDescent="0.3">
      <c r="A9" s="163" t="str">
        <f>IF(L9=1,"RadioGPS-"&amp;TEXT(COUNTIF($L$3:L9, "1"), "0"), "")</f>
        <v>RadioGPS-6</v>
      </c>
      <c r="B9" s="133" t="s">
        <v>43</v>
      </c>
      <c r="C9" s="154" t="s">
        <v>1218</v>
      </c>
      <c r="D9" s="153"/>
      <c r="E9" s="168"/>
      <c r="F9" s="137">
        <v>1</v>
      </c>
      <c r="G9" s="240" t="s">
        <v>101</v>
      </c>
      <c r="H9" s="140">
        <f>COUNTIFS(B:B,"=Critical",G:G,"=Function Not Available")</f>
        <v>0</v>
      </c>
      <c r="I9" s="131">
        <f>IF(NOT(ISBLANK($B9)),VLOOKUP($B9,specdata,2,FALSE()),"")</f>
        <v>1</v>
      </c>
      <c r="J9" s="131">
        <f>VLOOKUP(G9,AvailabilityData,2,FALSE())</f>
        <v>0</v>
      </c>
      <c r="K9" s="131">
        <f>I9*J9</f>
        <v>0</v>
      </c>
      <c r="L9" s="115">
        <v>1</v>
      </c>
    </row>
    <row r="10" spans="1:17" ht="30" customHeight="1" x14ac:dyDescent="0.3">
      <c r="A10" s="163" t="str">
        <f>IF(L10=1,"RadioGPS-"&amp;TEXT(COUNTIF($L$3:L10, "1"), "0"), "")</f>
        <v>RadioGPS-7</v>
      </c>
      <c r="B10" s="133" t="s">
        <v>43</v>
      </c>
      <c r="C10" s="154" t="s">
        <v>1219</v>
      </c>
      <c r="D10" s="153"/>
      <c r="E10" s="168"/>
      <c r="F10" s="137">
        <v>1</v>
      </c>
      <c r="G10" s="240" t="s">
        <v>101</v>
      </c>
      <c r="H10" s="140">
        <f>COUNTIFS(B:B,"=Critical",G:G,"=Exception")</f>
        <v>0</v>
      </c>
      <c r="I10" s="131">
        <f>IF(NOT(ISBLANK($B10)),VLOOKUP($B10,specdata,2,FALSE()),"")</f>
        <v>1</v>
      </c>
      <c r="J10" s="131">
        <f>VLOOKUP(G10,AvailabilityData,2,FALSE())</f>
        <v>0</v>
      </c>
      <c r="K10" s="131">
        <f>I10*J10</f>
        <v>0</v>
      </c>
      <c r="L10" s="115">
        <v>1</v>
      </c>
    </row>
    <row r="11" spans="1:17" ht="46.8" x14ac:dyDescent="0.3">
      <c r="A11" s="163" t="str">
        <f>IF(L11=1,"RadioGPS-"&amp;TEXT(COUNTIF($L$3:L11, "1"), "0"), "")</f>
        <v>RadioGPS-8</v>
      </c>
      <c r="B11" s="133" t="s">
        <v>43</v>
      </c>
      <c r="C11" s="164" t="s">
        <v>1220</v>
      </c>
      <c r="D11" s="153"/>
      <c r="E11" s="168"/>
      <c r="F11" s="137">
        <v>1</v>
      </c>
      <c r="G11" s="240" t="s">
        <v>101</v>
      </c>
      <c r="H11" s="146">
        <f>COUNTIFS(B:B,"=Important",G:G,"=Select from Drop Down List")</f>
        <v>18</v>
      </c>
      <c r="I11" s="131">
        <f>IF(NOT(ISBLANK($B11)),VLOOKUP($B11,specdata,2,FALSE()),"")</f>
        <v>1</v>
      </c>
      <c r="J11" s="131">
        <f>VLOOKUP(G11,AvailabilityData,2,FALSE())</f>
        <v>0</v>
      </c>
      <c r="K11" s="131">
        <f>I11*J11</f>
        <v>0</v>
      </c>
      <c r="L11" s="115">
        <v>1</v>
      </c>
    </row>
    <row r="12" spans="1:17" ht="30" customHeight="1" x14ac:dyDescent="0.3">
      <c r="A12" s="163" t="str">
        <f>IF(L12=1,"RadioGPS-"&amp;TEXT(COUNTIF($L$3:L12, "1"), "0"), "")</f>
        <v>RadioGPS-9</v>
      </c>
      <c r="B12" s="133" t="s">
        <v>43</v>
      </c>
      <c r="C12" s="164" t="s">
        <v>1221</v>
      </c>
      <c r="D12" s="270"/>
      <c r="E12" s="186"/>
      <c r="F12" s="166">
        <v>1</v>
      </c>
      <c r="G12" s="137" t="s">
        <v>101</v>
      </c>
      <c r="H12" s="146">
        <f>COUNTIFS(B:B,"=Important",G:G,"=Function Available")</f>
        <v>0</v>
      </c>
      <c r="I12" s="131">
        <f>IF(NOT(ISBLANK($B12)),VLOOKUP($B12,specdata,2,FALSE()),"")</f>
        <v>1</v>
      </c>
      <c r="J12" s="131">
        <f>VLOOKUP(G12,AvailabilityData,2,FALSE())</f>
        <v>0</v>
      </c>
      <c r="K12" s="131">
        <f>I12*J12</f>
        <v>0</v>
      </c>
      <c r="L12" s="115">
        <v>1</v>
      </c>
    </row>
    <row r="13" spans="1:17" x14ac:dyDescent="0.3">
      <c r="A13" s="316"/>
      <c r="B13" s="126"/>
      <c r="C13" s="193" t="s">
        <v>168</v>
      </c>
      <c r="D13" s="179"/>
      <c r="E13" s="180"/>
      <c r="F13" s="181"/>
      <c r="G13" s="849"/>
      <c r="H13" s="146">
        <f>COUNTIFS(B:B,"=Important",G:G,"=Function Not Available")</f>
        <v>0</v>
      </c>
    </row>
    <row r="14" spans="1:17" x14ac:dyDescent="0.3">
      <c r="A14" s="543"/>
      <c r="B14" s="544"/>
      <c r="C14" s="545" t="s">
        <v>185</v>
      </c>
      <c r="D14" s="546"/>
      <c r="E14" s="547"/>
      <c r="F14" s="548"/>
      <c r="G14" s="849"/>
      <c r="H14" s="146">
        <f>COUNTIFS(B:B,"=Important",G:G,"=Exception")</f>
        <v>0</v>
      </c>
    </row>
    <row r="15" spans="1:17" ht="30" customHeight="1" x14ac:dyDescent="0.3">
      <c r="A15" s="163" t="str">
        <f>IF(L15=1,"RadioGPS-"&amp;TEXT(COUNTIF($L$3:L15, "1"), "0"), "")</f>
        <v>RadioGPS-10</v>
      </c>
      <c r="B15" s="169" t="s">
        <v>43</v>
      </c>
      <c r="C15" s="278" t="s">
        <v>170</v>
      </c>
      <c r="D15" s="185"/>
      <c r="E15" s="186"/>
      <c r="F15" s="191">
        <v>1</v>
      </c>
      <c r="G15" s="187" t="s">
        <v>101</v>
      </c>
      <c r="H15" s="147">
        <f>COUNTIFS(B:B,"=Informational",G:G,"=Select from Drop Down List")</f>
        <v>2</v>
      </c>
      <c r="I15" s="131">
        <f>IF(NOT(ISBLANK($B15)),VLOOKUP($B15,specdata,2,FALSE()),"")</f>
        <v>1</v>
      </c>
      <c r="J15" s="131">
        <f>VLOOKUP(G15,AvailabilityData,2,FALSE())</f>
        <v>0</v>
      </c>
      <c r="K15" s="131">
        <f>I15*J15</f>
        <v>0</v>
      </c>
      <c r="L15" s="115">
        <v>1</v>
      </c>
    </row>
    <row r="16" spans="1:17" ht="30" customHeight="1" x14ac:dyDescent="0.3">
      <c r="A16" s="163" t="str">
        <f>IF(L16=1,"RadioGPS-"&amp;TEXT(COUNTIF($L$3:L16, "1"), "0"), "")</f>
        <v>RadioGPS-11</v>
      </c>
      <c r="B16" s="169" t="s">
        <v>43</v>
      </c>
      <c r="C16" s="154" t="s">
        <v>171</v>
      </c>
      <c r="D16" s="451"/>
      <c r="E16" s="186"/>
      <c r="F16" s="166">
        <v>1</v>
      </c>
      <c r="G16" s="137" t="s">
        <v>101</v>
      </c>
      <c r="H16" s="147">
        <f>COUNTIFS(B:B,"=Informational",G:G,"=Function Available")</f>
        <v>0</v>
      </c>
      <c r="I16" s="131">
        <f>IF(NOT(ISBLANK($B16)),VLOOKUP($B16,specdata,2,FALSE()),"")</f>
        <v>1</v>
      </c>
      <c r="J16" s="131">
        <f>VLOOKUP(G16,AvailabilityData,2,FALSE())</f>
        <v>0</v>
      </c>
      <c r="K16" s="131">
        <f>I16*J16</f>
        <v>0</v>
      </c>
      <c r="L16" s="115">
        <v>1</v>
      </c>
    </row>
    <row r="17" spans="1:12" ht="30" customHeight="1" x14ac:dyDescent="0.3">
      <c r="A17" s="163" t="str">
        <f>IF(L17=1,"RadioGPS-"&amp;TEXT(COUNTIF($L$3:L17, "1"), "0"), "")</f>
        <v>RadioGPS-12</v>
      </c>
      <c r="B17" s="169" t="s">
        <v>43</v>
      </c>
      <c r="C17" s="154" t="s">
        <v>172</v>
      </c>
      <c r="D17" s="185"/>
      <c r="E17" s="186"/>
      <c r="F17" s="166">
        <v>1</v>
      </c>
      <c r="G17" s="137" t="s">
        <v>101</v>
      </c>
      <c r="H17" s="147">
        <f>COUNTIFS(B:B,"=Informational",G:G,"=Function Not Available")</f>
        <v>0</v>
      </c>
      <c r="I17" s="131">
        <f>IF(NOT(ISBLANK($B17)),VLOOKUP($B17,specdata,2,FALSE()),"")</f>
        <v>1</v>
      </c>
      <c r="J17" s="131">
        <f>VLOOKUP(G17,AvailabilityData,2,FALSE())</f>
        <v>0</v>
      </c>
      <c r="K17" s="131">
        <f>I17*J17</f>
        <v>0</v>
      </c>
      <c r="L17" s="115">
        <v>1</v>
      </c>
    </row>
    <row r="18" spans="1:12" ht="30" customHeight="1" x14ac:dyDescent="0.3">
      <c r="A18" s="163" t="str">
        <f>IF(L18=1,"RadioGPS-"&amp;TEXT(COUNTIF($L$3:L18, "1"), "0"), "")</f>
        <v>RadioGPS-13</v>
      </c>
      <c r="B18" s="169" t="s">
        <v>43</v>
      </c>
      <c r="C18" s="273" t="s">
        <v>173</v>
      </c>
      <c r="D18" s="192"/>
      <c r="E18" s="172"/>
      <c r="F18" s="173">
        <v>1</v>
      </c>
      <c r="G18" s="137" t="s">
        <v>101</v>
      </c>
      <c r="H18" s="147">
        <f>COUNTIFS(B:B,"=Informational",G:G,"=Exception")</f>
        <v>0</v>
      </c>
      <c r="I18" s="131">
        <f>IF(NOT(ISBLANK($B18)),VLOOKUP($B18,specdata,2,FALSE()),"")</f>
        <v>1</v>
      </c>
      <c r="J18" s="131">
        <f>VLOOKUP(G18,AvailabilityData,2,FALSE())</f>
        <v>0</v>
      </c>
      <c r="K18" s="131">
        <f>I18*J18</f>
        <v>0</v>
      </c>
      <c r="L18" s="115">
        <v>1</v>
      </c>
    </row>
    <row r="19" spans="1:12" x14ac:dyDescent="0.3">
      <c r="A19" s="316"/>
      <c r="B19" s="126"/>
      <c r="C19" s="193" t="s">
        <v>165</v>
      </c>
      <c r="D19" s="194"/>
      <c r="E19" s="180"/>
      <c r="F19" s="181"/>
      <c r="G19" s="849"/>
    </row>
    <row r="20" spans="1:12" ht="45" customHeight="1" x14ac:dyDescent="0.3">
      <c r="A20" s="163" t="str">
        <f>IF(L20=1,"RadioGPS-"&amp;TEXT(COUNTIF($L$3:L20, "1"), "0"), "")</f>
        <v>RadioGPS-14</v>
      </c>
      <c r="B20" s="183" t="s">
        <v>43</v>
      </c>
      <c r="C20" s="184" t="s">
        <v>208</v>
      </c>
      <c r="D20" s="270"/>
      <c r="E20" s="186"/>
      <c r="F20" s="191">
        <v>1</v>
      </c>
      <c r="G20" s="187" t="s">
        <v>101</v>
      </c>
      <c r="I20" s="131">
        <f>IF(NOT(ISBLANK($B20)),VLOOKUP($B20,specdata,2,FALSE()),"")</f>
        <v>1</v>
      </c>
      <c r="J20" s="131">
        <f>VLOOKUP(G20,AvailabilityData,2,FALSE())</f>
        <v>0</v>
      </c>
      <c r="K20" s="131">
        <f>I20*J20</f>
        <v>0</v>
      </c>
      <c r="L20" s="115">
        <v>1</v>
      </c>
    </row>
    <row r="21" spans="1:12" ht="30" customHeight="1" x14ac:dyDescent="0.3">
      <c r="A21" s="163" t="str">
        <f>IF(L21=1,"RadioGPS-"&amp;TEXT(COUNTIF($L$3:L21, "1"), "0"), "")</f>
        <v>RadioGPS-15</v>
      </c>
      <c r="B21" s="133" t="s">
        <v>43</v>
      </c>
      <c r="C21" s="164" t="s">
        <v>1222</v>
      </c>
      <c r="D21" s="270"/>
      <c r="E21" s="186"/>
      <c r="F21" s="166">
        <v>1</v>
      </c>
      <c r="G21" s="137" t="s">
        <v>101</v>
      </c>
      <c r="I21" s="131">
        <f>IF(NOT(ISBLANK($B21)),VLOOKUP($B21,specdata,2,FALSE()),"")</f>
        <v>1</v>
      </c>
      <c r="J21" s="131">
        <f>VLOOKUP(G21,AvailabilityData,2,FALSE())</f>
        <v>0</v>
      </c>
      <c r="K21" s="131">
        <f>I21*J21</f>
        <v>0</v>
      </c>
      <c r="L21" s="115">
        <v>1</v>
      </c>
    </row>
    <row r="22" spans="1:12" ht="30" customHeight="1" x14ac:dyDescent="0.3">
      <c r="A22" s="163" t="str">
        <f>IF(L22=1,"RadioGPS-"&amp;TEXT(COUNTIF($L$3:L22, "1"), "0"), "")</f>
        <v>RadioGPS-16</v>
      </c>
      <c r="B22" s="133" t="s">
        <v>43</v>
      </c>
      <c r="C22" s="164" t="s">
        <v>210</v>
      </c>
      <c r="D22" s="185"/>
      <c r="E22" s="186"/>
      <c r="F22" s="166">
        <v>1</v>
      </c>
      <c r="G22" s="137" t="s">
        <v>101</v>
      </c>
      <c r="I22" s="131">
        <f>IF(NOT(ISBLANK($B22)),VLOOKUP($B22,specdata,2,FALSE()),"")</f>
        <v>1</v>
      </c>
      <c r="J22" s="131">
        <f>VLOOKUP(G22,AvailabilityData,2,FALSE())</f>
        <v>0</v>
      </c>
      <c r="K22" s="131">
        <f>I22*J22</f>
        <v>0</v>
      </c>
      <c r="L22" s="115">
        <v>1</v>
      </c>
    </row>
    <row r="23" spans="1:12" ht="30" customHeight="1" x14ac:dyDescent="0.3">
      <c r="A23" s="163" t="str">
        <f>IF(L23=1,"RadioGPS-"&amp;TEXT(COUNTIF($L$3:L23, "1"), "0"), "")</f>
        <v>RadioGPS-17</v>
      </c>
      <c r="B23" s="169" t="s">
        <v>43</v>
      </c>
      <c r="C23" s="170" t="s">
        <v>211</v>
      </c>
      <c r="D23" s="192"/>
      <c r="E23" s="172"/>
      <c r="F23" s="173">
        <v>1</v>
      </c>
      <c r="G23" s="137" t="s">
        <v>101</v>
      </c>
      <c r="I23" s="131">
        <f>IF(NOT(ISBLANK($B23)),VLOOKUP($B23,specdata,2,FALSE()),"")</f>
        <v>1</v>
      </c>
      <c r="J23" s="131">
        <f>VLOOKUP(G23,AvailabilityData,2,FALSE())</f>
        <v>0</v>
      </c>
      <c r="K23" s="131">
        <f>I23*J23</f>
        <v>0</v>
      </c>
      <c r="L23" s="115">
        <v>1</v>
      </c>
    </row>
    <row r="24" spans="1:12" x14ac:dyDescent="0.3">
      <c r="A24" s="448"/>
      <c r="B24" s="126"/>
      <c r="C24" s="549" t="s">
        <v>174</v>
      </c>
      <c r="D24" s="130"/>
      <c r="E24" s="180"/>
      <c r="F24" s="181"/>
      <c r="G24" s="849"/>
    </row>
    <row r="25" spans="1:12" ht="30" customHeight="1" x14ac:dyDescent="0.3">
      <c r="A25" s="163" t="str">
        <f>IF(L25=1,"RadioGPS-"&amp;TEXT(COUNTIF($L$3:L25, "1"), "0"), "")</f>
        <v>RadioGPS-18</v>
      </c>
      <c r="B25" s="169" t="s">
        <v>43</v>
      </c>
      <c r="C25" s="184" t="s">
        <v>258</v>
      </c>
      <c r="D25" s="185"/>
      <c r="E25" s="186"/>
      <c r="F25" s="191">
        <v>1</v>
      </c>
      <c r="G25" s="187" t="s">
        <v>101</v>
      </c>
      <c r="I25" s="131">
        <f>IF(NOT(ISBLANK($B25)),VLOOKUP($B25,specdata,2,FALSE()),"")</f>
        <v>1</v>
      </c>
      <c r="J25" s="131">
        <f>VLOOKUP(G25,AvailabilityData,2,FALSE())</f>
        <v>0</v>
      </c>
      <c r="K25" s="131">
        <f>I25*J25</f>
        <v>0</v>
      </c>
      <c r="L25" s="115">
        <v>1</v>
      </c>
    </row>
    <row r="26" spans="1:12" ht="31.2" x14ac:dyDescent="0.3">
      <c r="A26" s="163" t="str">
        <f>IF(L26=1,"RadioGPS-"&amp;TEXT(COUNTIF($L$3:L26, "1"), "0"), "")</f>
        <v>RadioGPS-19</v>
      </c>
      <c r="B26" s="169" t="s">
        <v>43</v>
      </c>
      <c r="C26" s="164" t="s">
        <v>949</v>
      </c>
      <c r="D26" s="138"/>
      <c r="E26" s="186"/>
      <c r="F26" s="166">
        <v>1</v>
      </c>
      <c r="G26" s="137" t="s">
        <v>101</v>
      </c>
      <c r="I26" s="131">
        <f>IF(NOT(ISBLANK($B26)),VLOOKUP($B26,specdata,2,FALSE()),"")</f>
        <v>1</v>
      </c>
      <c r="J26" s="131">
        <f>VLOOKUP(G26,AvailabilityData,2,FALSE())</f>
        <v>0</v>
      </c>
      <c r="K26" s="131">
        <f>I26*J26</f>
        <v>0</v>
      </c>
      <c r="L26" s="115">
        <v>1</v>
      </c>
    </row>
    <row r="27" spans="1:12" ht="46.8" x14ac:dyDescent="0.3">
      <c r="A27" s="163" t="str">
        <f>IF(L27=1,"RadioGPS-"&amp;TEXT(COUNTIF($L$3:L27, "1"), "0"), "")</f>
        <v>RadioGPS-20</v>
      </c>
      <c r="B27" s="133" t="s">
        <v>43</v>
      </c>
      <c r="C27" s="164" t="s">
        <v>193</v>
      </c>
      <c r="D27" s="138"/>
      <c r="E27" s="186"/>
      <c r="F27" s="166">
        <v>1</v>
      </c>
      <c r="G27" s="137" t="s">
        <v>101</v>
      </c>
      <c r="I27" s="131">
        <f>IF(NOT(ISBLANK($B27)),VLOOKUP($B27,specdata,2,FALSE()),"")</f>
        <v>1</v>
      </c>
      <c r="J27" s="131">
        <f>VLOOKUP(G27,AvailabilityData,2,FALSE())</f>
        <v>0</v>
      </c>
      <c r="K27" s="131">
        <f>I27*J27</f>
        <v>0</v>
      </c>
      <c r="L27" s="115">
        <v>1</v>
      </c>
    </row>
    <row r="28" spans="1:12" ht="30" customHeight="1" x14ac:dyDescent="0.3">
      <c r="D28" s="355"/>
    </row>
    <row r="29" spans="1:12" ht="30" customHeight="1" x14ac:dyDescent="0.3">
      <c r="D29" s="355"/>
      <c r="I29" s="117"/>
    </row>
    <row r="30" spans="1:12" ht="30" customHeight="1" x14ac:dyDescent="0.3">
      <c r="D30" s="355"/>
      <c r="I30" s="550"/>
    </row>
    <row r="31" spans="1:12" ht="30" customHeight="1" x14ac:dyDescent="0.3">
      <c r="D31" s="355"/>
      <c r="I31" s="117"/>
    </row>
    <row r="32" spans="1:12" ht="30" customHeight="1" x14ac:dyDescent="0.3">
      <c r="D32" s="262"/>
      <c r="I32" s="117"/>
    </row>
    <row r="33" spans="9:9" ht="30" customHeight="1" x14ac:dyDescent="0.3">
      <c r="I33" s="117"/>
    </row>
    <row r="34" spans="9:9" ht="30" customHeight="1" x14ac:dyDescent="0.3">
      <c r="I34" s="117"/>
    </row>
    <row r="35" spans="9:9" ht="45" customHeight="1" x14ac:dyDescent="0.3">
      <c r="I35" s="117"/>
    </row>
    <row r="36" spans="9:9" ht="30" customHeight="1" x14ac:dyDescent="0.3">
      <c r="I36" s="117"/>
    </row>
    <row r="37" spans="9:9" ht="30" customHeight="1" x14ac:dyDescent="0.3">
      <c r="I37" s="117"/>
    </row>
    <row r="38" spans="9:9" ht="30" customHeight="1" x14ac:dyDescent="0.3">
      <c r="I38" s="117"/>
    </row>
    <row r="39" spans="9:9" ht="30" customHeight="1" x14ac:dyDescent="0.3">
      <c r="I39" s="117"/>
    </row>
    <row r="40" spans="9:9" ht="30" customHeight="1" x14ac:dyDescent="0.3">
      <c r="I40" s="117"/>
    </row>
    <row r="41" spans="9:9" ht="30" customHeight="1" x14ac:dyDescent="0.3">
      <c r="I41" s="117"/>
    </row>
    <row r="42" spans="9:9" ht="15" customHeight="1" x14ac:dyDescent="0.3">
      <c r="I42" s="117"/>
    </row>
    <row r="43" spans="9:9" ht="15" customHeight="1" x14ac:dyDescent="0.3">
      <c r="I43" s="117"/>
    </row>
    <row r="44" spans="9:9" ht="30" customHeight="1" x14ac:dyDescent="0.3">
      <c r="I44" s="551"/>
    </row>
    <row r="45" spans="9:9" ht="30" customHeight="1" x14ac:dyDescent="0.3">
      <c r="I45" s="551"/>
    </row>
    <row r="46" spans="9:9" ht="30" customHeight="1" x14ac:dyDescent="0.3">
      <c r="I46" s="551"/>
    </row>
    <row r="47" spans="9:9" ht="30" customHeight="1" x14ac:dyDescent="0.3">
      <c r="I47" s="551"/>
    </row>
    <row r="48" spans="9:9"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2" spans="4:4" ht="30" customHeight="1" x14ac:dyDescent="0.3">
      <c r="D82" s="262"/>
    </row>
    <row r="83" spans="4:4" ht="30" customHeight="1" x14ac:dyDescent="0.3">
      <c r="D83" s="262"/>
    </row>
    <row r="84" spans="4:4" ht="30" customHeight="1" x14ac:dyDescent="0.3">
      <c r="D84" s="262"/>
    </row>
    <row r="85" spans="4:4" ht="30" customHeight="1" x14ac:dyDescent="0.3"/>
    <row r="86" spans="4:4" ht="30" customHeight="1" x14ac:dyDescent="0.3">
      <c r="D86" s="355"/>
    </row>
    <row r="87" spans="4:4" ht="30" customHeight="1" x14ac:dyDescent="0.3">
      <c r="D87" s="355"/>
    </row>
    <row r="88" spans="4:4" ht="30" customHeight="1" x14ac:dyDescent="0.3">
      <c r="D88" s="355"/>
    </row>
    <row r="89" spans="4:4" ht="30" customHeight="1" x14ac:dyDescent="0.3">
      <c r="D89" s="355"/>
    </row>
    <row r="90" spans="4:4" ht="30" customHeight="1" x14ac:dyDescent="0.3">
      <c r="D90" s="355"/>
    </row>
    <row r="91" spans="4:4" ht="30" customHeight="1" x14ac:dyDescent="0.3">
      <c r="D91" s="355"/>
    </row>
    <row r="92" spans="4:4" ht="30" customHeight="1" x14ac:dyDescent="0.3">
      <c r="D92" s="355"/>
    </row>
    <row r="93" spans="4:4" ht="30" customHeight="1" x14ac:dyDescent="0.3">
      <c r="D93" s="355"/>
    </row>
    <row r="94" spans="4:4" ht="30" customHeight="1" x14ac:dyDescent="0.3">
      <c r="D94" s="262"/>
    </row>
    <row r="95" spans="4:4" ht="30" customHeight="1" x14ac:dyDescent="0.3">
      <c r="D95" s="262"/>
    </row>
    <row r="96" spans="4:4" ht="30" customHeight="1" x14ac:dyDescent="0.3">
      <c r="D96" s="262"/>
    </row>
    <row r="97" spans="4:4" ht="30" customHeight="1" x14ac:dyDescent="0.3">
      <c r="D97" s="262"/>
    </row>
    <row r="98" spans="4:4" ht="30" customHeight="1" x14ac:dyDescent="0.3">
      <c r="D98" s="355"/>
    </row>
    <row r="99" spans="4:4" ht="30" customHeight="1" x14ac:dyDescent="0.3">
      <c r="D99" s="355"/>
    </row>
    <row r="100" spans="4:4" ht="30" customHeight="1" x14ac:dyDescent="0.3">
      <c r="D100" s="355"/>
    </row>
    <row r="101" spans="4:4" ht="30" customHeight="1" x14ac:dyDescent="0.3">
      <c r="D101" s="355"/>
    </row>
    <row r="102" spans="4:4" ht="30" customHeight="1" x14ac:dyDescent="0.3">
      <c r="D102" s="355"/>
    </row>
    <row r="103" spans="4:4" ht="30" customHeight="1" x14ac:dyDescent="0.3">
      <c r="D103" s="355"/>
    </row>
    <row r="104" spans="4:4" ht="30" customHeight="1" x14ac:dyDescent="0.3">
      <c r="D104" s="355"/>
    </row>
    <row r="105" spans="4:4" ht="30" customHeight="1" x14ac:dyDescent="0.3">
      <c r="D105" s="355"/>
    </row>
    <row r="106" spans="4:4" ht="30" customHeight="1" x14ac:dyDescent="0.3"/>
    <row r="107" spans="4:4" ht="30" customHeight="1" x14ac:dyDescent="0.3"/>
    <row r="108" spans="4:4" ht="30" customHeight="1" x14ac:dyDescent="0.3"/>
    <row r="109" spans="4:4" ht="30" customHeight="1" x14ac:dyDescent="0.3"/>
    <row r="110" spans="4:4" ht="30" customHeight="1" x14ac:dyDescent="0.3"/>
    <row r="111" spans="4:4" ht="30" customHeight="1" x14ac:dyDescent="0.3"/>
    <row r="112" spans="4:4"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45"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30" customHeight="1" x14ac:dyDescent="0.3"/>
    <row r="174" ht="59.25" customHeight="1" x14ac:dyDescent="0.3"/>
  </sheetData>
  <sheetProtection algorithmName="SHA-512" hashValue="tN00y0NaX7emnDr5hrXY+SNM8vBoKuZk9nkvu2xkrH8qSX0eHIkcoAVRQjzm8fTW8lnlg9LPiFQ0C0Qorj4b5Q==" saltValue="NkaLL0hBy03u3YFQHMCBDg==" spinCount="100000" sheet="1" objects="1" scenarios="1"/>
  <mergeCells count="1">
    <mergeCell ref="O3:Q5"/>
  </mergeCells>
  <conditionalFormatting sqref="B1:B1048576">
    <cfRule type="cellIs" dxfId="88" priority="2" operator="equal">
      <formula>"Informational"</formula>
    </cfRule>
    <cfRule type="cellIs" dxfId="87" priority="3" operator="equal">
      <formula>"Not Needed"</formula>
    </cfRule>
    <cfRule type="cellIs" dxfId="86" priority="4" operator="equal">
      <formula>"Critical"</formula>
    </cfRule>
    <cfRule type="cellIs" dxfId="85" priority="5" operator="equal">
      <formula>"Extremely Advantageous"</formula>
    </cfRule>
  </conditionalFormatting>
  <conditionalFormatting sqref="G1:G1048576">
    <cfRule type="cellIs" dxfId="84" priority="6" operator="equal">
      <formula>"Exception"</formula>
    </cfRule>
  </conditionalFormatting>
  <conditionalFormatting sqref="G3:G27">
    <cfRule type="cellIs" dxfId="83" priority="7" operator="equal">
      <formula>"Select from Drop Down List"</formula>
    </cfRule>
  </conditionalFormatting>
  <dataValidations disablePrompts="1" count="2">
    <dataValidation type="list" allowBlank="1" showInputMessage="1" showErrorMessage="1" errorTitle="Invalid specification type" error="Please enter a Specification type from the drop-down list." sqref="B3:B23 B25:B26" xr:uid="{00000000-0002-0000-2B00-000000000000}">
      <formula1>SpecType</formula1>
      <formula2>0</formula2>
    </dataValidation>
    <dataValidation type="list" allowBlank="1" showInputMessage="1" showErrorMessage="1" sqref="G3:G6 G8:G12 G15:G18 G20:G23 G25:G27" xr:uid="{00000000-0002-0000-2B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tabSelected="1" zoomScaleNormal="100" workbookViewId="0">
      <selection activeCell="C7" sqref="C7"/>
    </sheetView>
  </sheetViews>
  <sheetFormatPr defaultColWidth="8.19921875" defaultRowHeight="13.8" x14ac:dyDescent="0.25"/>
  <cols>
    <col min="8" max="12" width="9" customWidth="1"/>
  </cols>
  <sheetData/>
  <sheetProtection algorithmName="SHA-512" hashValue="3viAU49STQEZdpWZ8/NKxQk+X5aYJs3GnvHOMGblbEb6Dic0YOcDbzGZCS0mpMbslLqarFDBmMaLbSxtbmBiJg==" saltValue="T4fBR99bA+6eX2Mg9isStQ==" spinCount="100000" sheet="1" objects="1" scenarios="1"/>
  <pageMargins left="0.25" right="0.25" top="0.75" bottom="0.75" header="0.3" footer="0.3"/>
  <pageSetup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50"/>
    <pageSetUpPr fitToPage="1"/>
  </sheetPr>
  <dimension ref="A1:Q47"/>
  <sheetViews>
    <sheetView zoomScaleNormal="100" zoomScalePageLayoutView="90" workbookViewId="0">
      <selection activeCell="D3" sqref="D3"/>
    </sheetView>
  </sheetViews>
  <sheetFormatPr defaultColWidth="9" defaultRowHeight="15.6" x14ac:dyDescent="0.3"/>
  <cols>
    <col min="1" max="1" width="10.59765625" style="113" customWidth="1"/>
    <col min="2" max="2" width="14.59765625" style="113" customWidth="1"/>
    <col min="3" max="3" width="65.59765625" style="261" customWidth="1"/>
    <col min="4" max="4" width="65.59765625" style="115" customWidth="1"/>
    <col min="5" max="5" width="10.59765625" style="115" hidden="1" customWidth="1"/>
    <col min="6" max="6" width="6.59765625" style="115" hidden="1" customWidth="1"/>
    <col min="7" max="7" width="30.59765625" style="115" customWidth="1"/>
    <col min="8" max="11" width="8.59765625" style="552" hidden="1" customWidth="1"/>
    <col min="12" max="12" width="0" style="115" hidden="1" customWidth="1"/>
    <col min="13" max="16384" width="9" style="115"/>
  </cols>
  <sheetData>
    <row r="1" spans="1:17" s="124" customFormat="1" ht="105" customHeight="1" thickBot="1" x14ac:dyDescent="0.3">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c r="L1" s="123" t="s">
        <v>1223</v>
      </c>
      <c r="M1" s="838"/>
    </row>
    <row r="2" spans="1:17" s="118" customFormat="1" x14ac:dyDescent="0.3">
      <c r="A2" s="125" t="s">
        <v>1224</v>
      </c>
      <c r="B2" s="445"/>
      <c r="C2" s="459"/>
      <c r="D2" s="447"/>
      <c r="E2" s="447"/>
      <c r="F2" s="447"/>
      <c r="G2" s="844"/>
      <c r="H2" s="131">
        <f>COUNTA(B3:B33)</f>
        <v>21</v>
      </c>
      <c r="I2" s="553"/>
      <c r="J2" s="553"/>
      <c r="K2" s="552">
        <f>SUM(K4:K26)</f>
        <v>0</v>
      </c>
    </row>
    <row r="3" spans="1:17" s="118" customFormat="1" ht="33.75" customHeight="1" x14ac:dyDescent="0.3">
      <c r="A3" s="352" t="str">
        <f>IF(L3=1,"RapidSOS-"&amp;TEXT(COUNTIF($L$3:L3, "1"), "0"), "")</f>
        <v>RapidSOS-1</v>
      </c>
      <c r="B3" s="644" t="s">
        <v>45</v>
      </c>
      <c r="C3" s="170" t="s">
        <v>1225</v>
      </c>
      <c r="D3" s="554"/>
      <c r="E3" s="554"/>
      <c r="F3" s="176"/>
      <c r="G3" s="137" t="s">
        <v>101</v>
      </c>
      <c r="H3" s="131">
        <f>COUNTIF(G:G,"=Select from Drop Down List")</f>
        <v>21</v>
      </c>
      <c r="I3" s="131">
        <f>IF(NOT(ISBLANK($B3)),VLOOKUP($B3,specdata,2,FALSE()),"")</f>
        <v>0</v>
      </c>
      <c r="J3" s="131">
        <f>VLOOKUP(G3,AvailabilityData,2,FALSE())</f>
        <v>0</v>
      </c>
      <c r="K3" s="131">
        <f>I3*J3</f>
        <v>0</v>
      </c>
      <c r="L3" s="118">
        <v>1</v>
      </c>
      <c r="O3" s="857"/>
      <c r="P3" s="857"/>
      <c r="Q3" s="857"/>
    </row>
    <row r="4" spans="1:17" x14ac:dyDescent="0.3">
      <c r="A4" s="316"/>
      <c r="B4" s="126"/>
      <c r="C4" s="193" t="s">
        <v>1226</v>
      </c>
      <c r="D4" s="194"/>
      <c r="E4" s="180"/>
      <c r="F4" s="181"/>
      <c r="G4" s="849"/>
      <c r="H4" s="131">
        <f>COUNTIF(G:G,"=Function Available")</f>
        <v>0</v>
      </c>
      <c r="I4" s="131"/>
      <c r="J4" s="131"/>
      <c r="K4" s="131"/>
      <c r="O4" s="857"/>
      <c r="P4" s="857"/>
      <c r="Q4" s="857"/>
    </row>
    <row r="5" spans="1:17" ht="30" customHeight="1" x14ac:dyDescent="0.3">
      <c r="A5" s="352" t="str">
        <f>IF(L5=1,"RapidSOS-"&amp;TEXT(COUNTIF($L$3:L5, "1"), "0"), "")</f>
        <v>RapidSOS-2</v>
      </c>
      <c r="B5" s="133" t="s">
        <v>43</v>
      </c>
      <c r="C5" s="184" t="s">
        <v>1227</v>
      </c>
      <c r="D5" s="185"/>
      <c r="E5" s="186"/>
      <c r="F5" s="191"/>
      <c r="G5" s="187" t="s">
        <v>101</v>
      </c>
      <c r="H5" s="131">
        <f>COUNTIF(F:G,"=Function Not Available")</f>
        <v>0</v>
      </c>
      <c r="I5" s="131">
        <f t="shared" ref="I5:I12" si="0">IF(NOT(ISBLANK($B5)),VLOOKUP($B5,specdata,2,FALSE()),"")</f>
        <v>1</v>
      </c>
      <c r="J5" s="131">
        <f t="shared" ref="J5:J12" si="1">VLOOKUP(G5,AvailabilityData,2,FALSE())</f>
        <v>0</v>
      </c>
      <c r="K5" s="131">
        <f t="shared" ref="K5:K12" si="2">I5*J5</f>
        <v>0</v>
      </c>
      <c r="L5" s="118">
        <v>1</v>
      </c>
      <c r="M5" s="118"/>
      <c r="O5" s="857"/>
      <c r="P5" s="857"/>
      <c r="Q5" s="857"/>
    </row>
    <row r="6" spans="1:17" ht="30" customHeight="1" x14ac:dyDescent="0.3">
      <c r="A6" s="352" t="str">
        <f>IF(L6=1,"RapidSOS-"&amp;TEXT(COUNTIF($L$3:L6, "1"), "0"), "")</f>
        <v>RapidSOS-3</v>
      </c>
      <c r="B6" s="133" t="s">
        <v>43</v>
      </c>
      <c r="C6" s="164" t="s">
        <v>1228</v>
      </c>
      <c r="D6" s="185"/>
      <c r="E6" s="186"/>
      <c r="F6" s="166"/>
      <c r="G6" s="137" t="s">
        <v>101</v>
      </c>
      <c r="H6" s="131">
        <f>COUNTIF(G:G,"=Exception")</f>
        <v>0</v>
      </c>
      <c r="I6" s="131">
        <f t="shared" si="0"/>
        <v>1</v>
      </c>
      <c r="J6" s="131">
        <f t="shared" si="1"/>
        <v>0</v>
      </c>
      <c r="K6" s="131">
        <f t="shared" si="2"/>
        <v>0</v>
      </c>
      <c r="L6" s="118">
        <v>1</v>
      </c>
      <c r="M6" s="118"/>
      <c r="O6" s="857"/>
      <c r="P6" s="857"/>
      <c r="Q6" s="857"/>
    </row>
    <row r="7" spans="1:17" ht="46.8" x14ac:dyDescent="0.3">
      <c r="A7" s="352" t="str">
        <f>IF(L7=1,"RapidSOS-"&amp;TEXT(COUNTIF($L$3:L7, "1"), "0"), "")</f>
        <v>RapidSOS-4</v>
      </c>
      <c r="B7" s="133" t="s">
        <v>43</v>
      </c>
      <c r="C7" s="164" t="s">
        <v>1229</v>
      </c>
      <c r="D7" s="185"/>
      <c r="E7" s="186"/>
      <c r="F7" s="166"/>
      <c r="G7" s="137" t="s">
        <v>101</v>
      </c>
      <c r="H7" s="140">
        <f>COUNTIFS(B:B,"=Critical",G:G,"=Select from Drop Down List")</f>
        <v>0</v>
      </c>
      <c r="I7" s="131">
        <f t="shared" si="0"/>
        <v>1</v>
      </c>
      <c r="J7" s="131">
        <f t="shared" si="1"/>
        <v>0</v>
      </c>
      <c r="K7" s="131">
        <f t="shared" si="2"/>
        <v>0</v>
      </c>
      <c r="L7" s="118">
        <v>1</v>
      </c>
      <c r="M7" s="118"/>
      <c r="O7" s="851"/>
      <c r="P7" s="851"/>
      <c r="Q7" s="851"/>
    </row>
    <row r="8" spans="1:17" ht="46.8" x14ac:dyDescent="0.3">
      <c r="A8" s="352" t="str">
        <f>IF(L8=1,"RapidSOS-"&amp;TEXT(COUNTIF($L$3:L8, "1"), "0"), "")</f>
        <v>RapidSOS-5</v>
      </c>
      <c r="B8" s="133" t="s">
        <v>43</v>
      </c>
      <c r="C8" s="555" t="s">
        <v>1230</v>
      </c>
      <c r="D8" s="556"/>
      <c r="E8" s="186"/>
      <c r="F8" s="166"/>
      <c r="G8" s="137" t="s">
        <v>101</v>
      </c>
      <c r="H8" s="140">
        <f>COUNTIFS(B:B,"=Critical",G:G,"=Function Available")</f>
        <v>0</v>
      </c>
      <c r="I8" s="131">
        <f t="shared" si="0"/>
        <v>1</v>
      </c>
      <c r="J8" s="131">
        <f t="shared" si="1"/>
        <v>0</v>
      </c>
      <c r="K8" s="131">
        <f t="shared" si="2"/>
        <v>0</v>
      </c>
      <c r="L8" s="118">
        <v>1</v>
      </c>
      <c r="M8" s="118"/>
    </row>
    <row r="9" spans="1:17" ht="30" customHeight="1" x14ac:dyDescent="0.3">
      <c r="A9" s="352" t="str">
        <f>IF(L9=1,"RapidSOS-"&amp;TEXT(COUNTIF($L$3:L9, "1"), "0"), "")</f>
        <v>RapidSOS-6</v>
      </c>
      <c r="B9" s="169" t="s">
        <v>43</v>
      </c>
      <c r="C9" s="170" t="s">
        <v>1231</v>
      </c>
      <c r="D9" s="556"/>
      <c r="E9" s="172"/>
      <c r="F9" s="173"/>
      <c r="G9" s="137" t="s">
        <v>101</v>
      </c>
      <c r="H9" s="140">
        <f>COUNTIFS(B:B,"=Critical",G:G,"=Function Not Available")</f>
        <v>0</v>
      </c>
      <c r="I9" s="131">
        <f t="shared" si="0"/>
        <v>1</v>
      </c>
      <c r="J9" s="131">
        <f t="shared" si="1"/>
        <v>0</v>
      </c>
      <c r="K9" s="131">
        <f t="shared" si="2"/>
        <v>0</v>
      </c>
      <c r="L9" s="118">
        <v>1</v>
      </c>
      <c r="M9" s="118"/>
    </row>
    <row r="10" spans="1:17" ht="30" customHeight="1" x14ac:dyDescent="0.3">
      <c r="A10" s="352" t="str">
        <f>IF(L10=1,"RapidSOS-"&amp;TEXT(COUNTIF($L$3:L10, "1"), "0"), "")</f>
        <v>RapidSOS-7</v>
      </c>
      <c r="B10" s="169" t="s">
        <v>43</v>
      </c>
      <c r="C10" s="170" t="s">
        <v>1232</v>
      </c>
      <c r="D10" s="192"/>
      <c r="E10" s="172"/>
      <c r="F10" s="173"/>
      <c r="G10" s="137" t="s">
        <v>101</v>
      </c>
      <c r="H10" s="140">
        <f>COUNTIFS(B:B,"=Critical",G:G,"=Exception")</f>
        <v>0</v>
      </c>
      <c r="I10" s="131">
        <f t="shared" si="0"/>
        <v>1</v>
      </c>
      <c r="J10" s="131">
        <f t="shared" si="1"/>
        <v>0</v>
      </c>
      <c r="K10" s="131">
        <f t="shared" si="2"/>
        <v>0</v>
      </c>
      <c r="L10" s="118">
        <v>1</v>
      </c>
      <c r="M10" s="118"/>
    </row>
    <row r="11" spans="1:17" ht="31.2" x14ac:dyDescent="0.3">
      <c r="A11" s="352" t="str">
        <f>IF(L11=1,"RapidSOS-"&amp;TEXT(COUNTIF($L$3:L11, "1"), "0"), "")</f>
        <v>RapidSOS-8</v>
      </c>
      <c r="B11" s="169" t="s">
        <v>43</v>
      </c>
      <c r="C11" s="170" t="s">
        <v>1233</v>
      </c>
      <c r="D11" s="323"/>
      <c r="E11" s="175"/>
      <c r="F11" s="176"/>
      <c r="G11" s="242" t="s">
        <v>101</v>
      </c>
      <c r="H11" s="146">
        <f>COUNTIFS(B:B,"=Important",G:G,"=Select from Drop Down List")</f>
        <v>20</v>
      </c>
      <c r="I11" s="131">
        <f t="shared" si="0"/>
        <v>1</v>
      </c>
      <c r="J11" s="131">
        <f t="shared" si="1"/>
        <v>0</v>
      </c>
      <c r="K11" s="131">
        <f t="shared" si="2"/>
        <v>0</v>
      </c>
      <c r="L11" s="118">
        <v>1</v>
      </c>
      <c r="M11" s="118"/>
    </row>
    <row r="12" spans="1:17" ht="46.8" x14ac:dyDescent="0.3">
      <c r="A12" s="352" t="str">
        <f>IF(L12=1,"RapidSOS-"&amp;TEXT(COUNTIF($L$3:L12, "1"), "0"), "")</f>
        <v>RapidSOS-9</v>
      </c>
      <c r="B12" s="169" t="s">
        <v>43</v>
      </c>
      <c r="C12" s="350" t="s">
        <v>1234</v>
      </c>
      <c r="D12" s="557"/>
      <c r="E12" s="351"/>
      <c r="F12" s="177"/>
      <c r="G12" s="240" t="s">
        <v>101</v>
      </c>
      <c r="H12" s="146">
        <f>COUNTIFS(B:B,"=Important",G:G,"=Function Available")</f>
        <v>0</v>
      </c>
      <c r="I12" s="131">
        <f t="shared" si="0"/>
        <v>1</v>
      </c>
      <c r="J12" s="131">
        <f t="shared" si="1"/>
        <v>0</v>
      </c>
      <c r="K12" s="131">
        <f t="shared" si="2"/>
        <v>0</v>
      </c>
      <c r="L12" s="118">
        <v>1</v>
      </c>
      <c r="M12" s="118"/>
    </row>
    <row r="13" spans="1:17" x14ac:dyDescent="0.3">
      <c r="A13" s="316"/>
      <c r="B13" s="126"/>
      <c r="C13" s="193" t="s">
        <v>1235</v>
      </c>
      <c r="D13" s="194"/>
      <c r="E13" s="180"/>
      <c r="F13" s="181"/>
      <c r="G13" s="849"/>
      <c r="H13" s="146">
        <f>COUNTIFS(B:B,"=Important",G:G,"=Function Not Available")</f>
        <v>0</v>
      </c>
      <c r="I13" s="131"/>
      <c r="J13" s="131"/>
      <c r="K13" s="131"/>
    </row>
    <row r="14" spans="1:17" ht="30" customHeight="1" x14ac:dyDescent="0.3">
      <c r="A14" s="352" t="str">
        <f>IF(L14=1,"RapidSOS-"&amp;TEXT(COUNTIF($L$3:L14, "1"), "0"), "")</f>
        <v>RapidSOS-10</v>
      </c>
      <c r="B14" s="133" t="s">
        <v>43</v>
      </c>
      <c r="C14" s="184" t="s">
        <v>1236</v>
      </c>
      <c r="D14" s="185"/>
      <c r="E14" s="186"/>
      <c r="F14" s="187"/>
      <c r="G14" s="249" t="s">
        <v>101</v>
      </c>
      <c r="H14" s="146">
        <f>COUNTIFS(B:B,"=Important",G:G,"=Exception")</f>
        <v>0</v>
      </c>
      <c r="I14" s="131">
        <f>IF(NOT(ISBLANK($B14)),VLOOKUP($B14,specdata,2,FALSE()),"")</f>
        <v>1</v>
      </c>
      <c r="J14" s="131">
        <f>VLOOKUP(G14,AvailabilityData,2,FALSE())</f>
        <v>0</v>
      </c>
      <c r="K14" s="131">
        <f>I14*J14</f>
        <v>0</v>
      </c>
      <c r="L14" s="118">
        <v>1</v>
      </c>
      <c r="M14" s="118"/>
    </row>
    <row r="15" spans="1:17" ht="30" customHeight="1" x14ac:dyDescent="0.3">
      <c r="A15" s="352" t="str">
        <f>IF(L15=1,"RapidSOS-"&amp;TEXT(COUNTIF($L$3:L15, "1"), "0"), "")</f>
        <v>RapidSOS-11</v>
      </c>
      <c r="B15" s="133" t="s">
        <v>43</v>
      </c>
      <c r="C15" s="164" t="s">
        <v>1237</v>
      </c>
      <c r="D15" s="138"/>
      <c r="E15" s="168"/>
      <c r="F15" s="137"/>
      <c r="G15" s="240" t="s">
        <v>101</v>
      </c>
      <c r="H15" s="147">
        <f>COUNTIFS(B:B,"=Informational",G:G,"=Select from Drop Down List")</f>
        <v>1</v>
      </c>
      <c r="I15" s="131">
        <f>IF(NOT(ISBLANK($B15)),VLOOKUP($B15,specdata,2,FALSE()),"")</f>
        <v>1</v>
      </c>
      <c r="J15" s="131">
        <f>VLOOKUP(G15,AvailabilityData,2,FALSE())</f>
        <v>0</v>
      </c>
      <c r="K15" s="131">
        <f>I15*J15</f>
        <v>0</v>
      </c>
      <c r="L15" s="118">
        <v>1</v>
      </c>
      <c r="M15" s="118"/>
    </row>
    <row r="16" spans="1:17" ht="30" customHeight="1" x14ac:dyDescent="0.3">
      <c r="A16" s="352" t="str">
        <f>IF(L16=1,"RapidSOS-"&amp;TEXT(COUNTIF($L$3:L16, "1"), "0"), "")</f>
        <v>RapidSOS-12</v>
      </c>
      <c r="B16" s="169" t="s">
        <v>43</v>
      </c>
      <c r="C16" s="170" t="s">
        <v>1238</v>
      </c>
      <c r="D16" s="323"/>
      <c r="E16" s="175"/>
      <c r="F16" s="176"/>
      <c r="G16" s="240" t="s">
        <v>101</v>
      </c>
      <c r="H16" s="147">
        <f>COUNTIFS(B:B,"=Informational",G:G,"=Function Available")</f>
        <v>0</v>
      </c>
      <c r="I16" s="131"/>
      <c r="J16" s="131"/>
      <c r="K16" s="131"/>
      <c r="L16" s="118">
        <v>1</v>
      </c>
      <c r="M16" s="118"/>
    </row>
    <row r="17" spans="1:13" x14ac:dyDescent="0.3">
      <c r="A17" s="316"/>
      <c r="B17" s="126"/>
      <c r="C17" s="193" t="s">
        <v>168</v>
      </c>
      <c r="D17" s="130"/>
      <c r="E17" s="180"/>
      <c r="F17" s="181"/>
      <c r="G17" s="849"/>
      <c r="H17" s="147">
        <f>COUNTIFS(B:B,"=Informational",G:G,"=Function Not Available")</f>
        <v>0</v>
      </c>
      <c r="I17" s="131"/>
      <c r="J17" s="131"/>
      <c r="K17" s="131"/>
    </row>
    <row r="18" spans="1:13" ht="30" customHeight="1" x14ac:dyDescent="0.3">
      <c r="A18" s="352" t="str">
        <f>IF(L18=1,"RapidSOS-"&amp;TEXT(COUNTIF($L$3:L18, "1"), "0"), "")</f>
        <v>RapidSOS-13</v>
      </c>
      <c r="B18" s="183" t="s">
        <v>43</v>
      </c>
      <c r="C18" s="184" t="s">
        <v>185</v>
      </c>
      <c r="D18" s="270"/>
      <c r="E18" s="186"/>
      <c r="F18" s="191"/>
      <c r="G18" s="187" t="s">
        <v>101</v>
      </c>
      <c r="H18" s="147">
        <f>COUNTIFS(B:B,"=Informational",G:G,"=Exception")</f>
        <v>0</v>
      </c>
      <c r="I18" s="131">
        <f t="shared" ref="I18:I21" si="3">IF(NOT(ISBLANK($B18)),VLOOKUP($B18,specdata,2,FALSE()),"")</f>
        <v>1</v>
      </c>
      <c r="J18" s="131">
        <f t="shared" ref="J18:J21" si="4">VLOOKUP(G18,AvailabilityData,2,FALSE())</f>
        <v>0</v>
      </c>
      <c r="K18" s="131">
        <f t="shared" ref="K18:K21" si="5">I18*J18</f>
        <v>0</v>
      </c>
      <c r="L18" s="118">
        <v>1</v>
      </c>
      <c r="M18" s="118"/>
    </row>
    <row r="19" spans="1:13" ht="30" customHeight="1" x14ac:dyDescent="0.3">
      <c r="A19" s="352" t="str">
        <f>IF(L19=1,"RapidSOS-"&amp;TEXT(COUNTIF($L$3:L19, "1"), "0"), "")</f>
        <v>RapidSOS-14</v>
      </c>
      <c r="B19" s="133" t="s">
        <v>43</v>
      </c>
      <c r="C19" s="164" t="s">
        <v>1239</v>
      </c>
      <c r="D19" s="270"/>
      <c r="E19" s="186"/>
      <c r="F19" s="166"/>
      <c r="G19" s="137" t="s">
        <v>101</v>
      </c>
      <c r="H19" s="147"/>
      <c r="I19" s="131">
        <f t="shared" si="3"/>
        <v>1</v>
      </c>
      <c r="J19" s="131">
        <f t="shared" si="4"/>
        <v>0</v>
      </c>
      <c r="K19" s="131">
        <f t="shared" si="5"/>
        <v>0</v>
      </c>
      <c r="L19" s="118">
        <v>1</v>
      </c>
      <c r="M19" s="118"/>
    </row>
    <row r="20" spans="1:13" ht="46.8" x14ac:dyDescent="0.3">
      <c r="A20" s="352" t="str">
        <f>IF(L20=1,"RapidSOS-"&amp;TEXT(COUNTIF($L$3:L20, "1"), "0"), "")</f>
        <v>RapidSOS-15</v>
      </c>
      <c r="B20" s="169" t="s">
        <v>43</v>
      </c>
      <c r="C20" s="350" t="s">
        <v>1240</v>
      </c>
      <c r="D20" s="270"/>
      <c r="E20" s="263"/>
      <c r="F20" s="177"/>
      <c r="G20" s="176" t="s">
        <v>101</v>
      </c>
      <c r="H20" s="147"/>
      <c r="I20" s="131">
        <f t="shared" si="3"/>
        <v>1</v>
      </c>
      <c r="J20" s="131">
        <f t="shared" si="4"/>
        <v>0</v>
      </c>
      <c r="K20" s="131">
        <f t="shared" si="5"/>
        <v>0</v>
      </c>
      <c r="L20" s="118">
        <v>1</v>
      </c>
      <c r="M20" s="118"/>
    </row>
    <row r="21" spans="1:13" ht="31.2" x14ac:dyDescent="0.3">
      <c r="A21" s="352" t="str">
        <f>IF(L21=1,"RapidSOS-"&amp;TEXT(COUNTIF($L$3:L21, "1"), "0"), "")</f>
        <v>RapidSOS-16</v>
      </c>
      <c r="B21" s="169" t="s">
        <v>43</v>
      </c>
      <c r="C21" s="350" t="s">
        <v>1241</v>
      </c>
      <c r="D21" s="270"/>
      <c r="E21" s="263"/>
      <c r="F21" s="177"/>
      <c r="G21" s="137" t="s">
        <v>101</v>
      </c>
      <c r="H21" s="147"/>
      <c r="I21" s="131">
        <f t="shared" si="3"/>
        <v>1</v>
      </c>
      <c r="J21" s="131">
        <f t="shared" si="4"/>
        <v>0</v>
      </c>
      <c r="K21" s="131">
        <f t="shared" si="5"/>
        <v>0</v>
      </c>
      <c r="L21" s="118">
        <v>1</v>
      </c>
      <c r="M21" s="118"/>
    </row>
    <row r="22" spans="1:13" x14ac:dyDescent="0.3">
      <c r="A22" s="316"/>
      <c r="B22" s="126"/>
      <c r="C22" s="193" t="s">
        <v>174</v>
      </c>
      <c r="D22" s="179"/>
      <c r="E22" s="180"/>
      <c r="F22" s="181"/>
      <c r="G22" s="849"/>
      <c r="I22" s="131"/>
      <c r="J22" s="131"/>
      <c r="K22" s="131"/>
    </row>
    <row r="23" spans="1:13" ht="30" customHeight="1" x14ac:dyDescent="0.3">
      <c r="A23" s="352" t="str">
        <f>IF(L23=1,"RapidSOS-"&amp;TEXT(COUNTIF($L$3:L23, "1"), "0"), "")</f>
        <v>RapidSOS-17</v>
      </c>
      <c r="B23" s="183" t="s">
        <v>43</v>
      </c>
      <c r="C23" s="184" t="s">
        <v>258</v>
      </c>
      <c r="D23" s="270"/>
      <c r="E23" s="186"/>
      <c r="F23" s="191"/>
      <c r="G23" s="187" t="s">
        <v>101</v>
      </c>
      <c r="I23" s="131">
        <f>IF(NOT(ISBLANK($B23)),VLOOKUP($B23,specdata,2,FALSE()),"")</f>
        <v>1</v>
      </c>
      <c r="J23" s="131">
        <f>VLOOKUP(G23,AvailabilityData,2,FALSE())</f>
        <v>0</v>
      </c>
      <c r="K23" s="131">
        <f>I23*J23</f>
        <v>0</v>
      </c>
      <c r="L23" s="118">
        <v>1</v>
      </c>
      <c r="M23" s="118"/>
    </row>
    <row r="24" spans="1:13" ht="46.8" x14ac:dyDescent="0.3">
      <c r="A24" s="352" t="str">
        <f>IF(L24=1,"RapidSOS-"&amp;TEXT(COUNTIF($L$3:L24, "1"), "0"), "")</f>
        <v>RapidSOS-18</v>
      </c>
      <c r="B24" s="133" t="s">
        <v>43</v>
      </c>
      <c r="C24" s="164" t="s">
        <v>1242</v>
      </c>
      <c r="D24" s="270"/>
      <c r="E24" s="186"/>
      <c r="F24" s="166"/>
      <c r="G24" s="137" t="s">
        <v>101</v>
      </c>
      <c r="I24" s="131">
        <f>IF(NOT(ISBLANK($B24)),VLOOKUP($B24,specdata,2,FALSE()),"")</f>
        <v>1</v>
      </c>
      <c r="J24" s="131">
        <f>VLOOKUP(G24,AvailabilityData,2,FALSE())</f>
        <v>0</v>
      </c>
      <c r="K24" s="131">
        <f>I24*J24</f>
        <v>0</v>
      </c>
      <c r="L24" s="118">
        <v>1</v>
      </c>
      <c r="M24" s="118"/>
    </row>
    <row r="25" spans="1:13" ht="46.8" x14ac:dyDescent="0.3">
      <c r="A25" s="352" t="str">
        <f>IF(L25=1,"RapidSOS-"&amp;TEXT(COUNTIF($L$3:L25, "1"), "0"), "")</f>
        <v>RapidSOS-19</v>
      </c>
      <c r="B25" s="133" t="s">
        <v>43</v>
      </c>
      <c r="C25" s="164" t="s">
        <v>193</v>
      </c>
      <c r="D25" s="270"/>
      <c r="E25" s="186"/>
      <c r="F25" s="166"/>
      <c r="G25" s="137" t="s">
        <v>101</v>
      </c>
      <c r="I25" s="131">
        <f>IF(NOT(ISBLANK($B25)),VLOOKUP($B25,specdata,2,FALSE()),"")</f>
        <v>1</v>
      </c>
      <c r="J25" s="131">
        <f>VLOOKUP(G25,AvailabilityData,2,FALSE())</f>
        <v>0</v>
      </c>
      <c r="K25" s="131">
        <f>I25*J25</f>
        <v>0</v>
      </c>
      <c r="L25" s="118">
        <v>1</v>
      </c>
      <c r="M25" s="118"/>
    </row>
    <row r="26" spans="1:13" ht="31.2" x14ac:dyDescent="0.3">
      <c r="A26" s="163" t="str">
        <f>IF(L26=1,"RapidSOS-"&amp;TEXT(COUNTIF($L$3:L26, "1"), "0"), "")</f>
        <v>RapidSOS-20</v>
      </c>
      <c r="B26" s="133" t="s">
        <v>43</v>
      </c>
      <c r="C26" s="164" t="s">
        <v>1243</v>
      </c>
      <c r="D26" s="270"/>
      <c r="E26" s="186"/>
      <c r="F26" s="166"/>
      <c r="G26" s="137" t="s">
        <v>101</v>
      </c>
      <c r="I26" s="131">
        <f>IF(NOT(ISBLANK($B26)),VLOOKUP($B26,specdata,2,FALSE()),"")</f>
        <v>1</v>
      </c>
      <c r="J26" s="131">
        <f>VLOOKUP(G26,AvailabilityData,2,FALSE())</f>
        <v>0</v>
      </c>
      <c r="K26" s="131">
        <f>I26*J26</f>
        <v>0</v>
      </c>
      <c r="L26" s="118">
        <v>1</v>
      </c>
      <c r="M26" s="118"/>
    </row>
    <row r="27" spans="1:13" ht="46.8" x14ac:dyDescent="0.3">
      <c r="A27" s="163" t="str">
        <f>IF(L27=1,"RapidSOS-"&amp;TEXT(COUNTIF($L$3:L27, "1"), "0"), "")</f>
        <v>RapidSOS-21</v>
      </c>
      <c r="B27" s="133" t="s">
        <v>43</v>
      </c>
      <c r="C27" s="164" t="s">
        <v>1244</v>
      </c>
      <c r="D27" s="270"/>
      <c r="G27" s="137" t="s">
        <v>101</v>
      </c>
      <c r="I27" s="131">
        <f>IF(NOT(ISBLANK($B27)),VLOOKUP($B27,specdata,2,FALSE()),"")</f>
        <v>1</v>
      </c>
      <c r="J27" s="131">
        <f>VLOOKUP(G27,AvailabilityData,2,FALSE())</f>
        <v>0</v>
      </c>
      <c r="K27" s="131">
        <f>I27*J27</f>
        <v>0</v>
      </c>
      <c r="L27" s="118">
        <v>1</v>
      </c>
      <c r="M27" s="118"/>
    </row>
    <row r="28" spans="1:13" x14ac:dyDescent="0.3">
      <c r="H28" s="115"/>
    </row>
    <row r="29" spans="1:13" x14ac:dyDescent="0.3">
      <c r="H29" s="115"/>
    </row>
    <row r="30" spans="1:13" x14ac:dyDescent="0.3">
      <c r="H30" s="115"/>
    </row>
    <row r="31" spans="1:13" x14ac:dyDescent="0.3">
      <c r="H31" s="115"/>
    </row>
    <row r="32" spans="1:13" x14ac:dyDescent="0.3">
      <c r="H32" s="115"/>
    </row>
    <row r="33" spans="8:8" x14ac:dyDescent="0.3">
      <c r="H33" s="115"/>
    </row>
    <row r="34" spans="8:8" x14ac:dyDescent="0.3">
      <c r="H34" s="115"/>
    </row>
    <row r="35" spans="8:8" x14ac:dyDescent="0.3">
      <c r="H35" s="115"/>
    </row>
    <row r="36" spans="8:8" x14ac:dyDescent="0.3">
      <c r="H36" s="115"/>
    </row>
    <row r="37" spans="8:8" x14ac:dyDescent="0.3">
      <c r="H37" s="115"/>
    </row>
    <row r="38" spans="8:8" x14ac:dyDescent="0.3">
      <c r="H38" s="115"/>
    </row>
    <row r="39" spans="8:8" x14ac:dyDescent="0.3">
      <c r="H39" s="115"/>
    </row>
    <row r="40" spans="8:8" x14ac:dyDescent="0.3">
      <c r="H40" s="115"/>
    </row>
    <row r="41" spans="8:8" x14ac:dyDescent="0.3">
      <c r="H41" s="115"/>
    </row>
    <row r="42" spans="8:8" x14ac:dyDescent="0.3">
      <c r="H42" s="115"/>
    </row>
    <row r="43" spans="8:8" x14ac:dyDescent="0.3">
      <c r="H43" s="115"/>
    </row>
    <row r="44" spans="8:8" x14ac:dyDescent="0.3">
      <c r="H44" s="115"/>
    </row>
    <row r="45" spans="8:8" x14ac:dyDescent="0.3">
      <c r="H45" s="115"/>
    </row>
    <row r="46" spans="8:8" x14ac:dyDescent="0.3">
      <c r="H46" s="115"/>
    </row>
    <row r="47" spans="8:8" x14ac:dyDescent="0.3">
      <c r="H47" s="115"/>
    </row>
  </sheetData>
  <sheetProtection algorithmName="SHA-512" hashValue="BbcxlLkJZeItKXawK+SyRdvNdUUn//GL/qjcOAVGWAWfnY5dnzyZpeuTGev8V6q+Aqb4/I3I8VHjrrtHz8IVhQ==" saltValue="sYc1JP98fmAac76yTUTVxA==" spinCount="100000" sheet="1" objects="1" scenarios="1"/>
  <mergeCells count="1">
    <mergeCell ref="O3:Q6"/>
  </mergeCells>
  <conditionalFormatting sqref="B1:B1048576">
    <cfRule type="cellIs" dxfId="82" priority="2" operator="equal">
      <formula>"Informational"</formula>
    </cfRule>
    <cfRule type="cellIs" dxfId="81" priority="3" operator="equal">
      <formula>"Not Needed"</formula>
    </cfRule>
    <cfRule type="cellIs" dxfId="80" priority="4" operator="equal">
      <formula>"Critical"</formula>
    </cfRule>
    <cfRule type="cellIs" dxfId="79" priority="5" operator="equal">
      <formula>"Highly Advantageous"</formula>
    </cfRule>
  </conditionalFormatting>
  <conditionalFormatting sqref="G1:G1048576">
    <cfRule type="cellIs" dxfId="78" priority="6" operator="equal">
      <formula>"Exception"</formula>
    </cfRule>
  </conditionalFormatting>
  <conditionalFormatting sqref="G3:G27">
    <cfRule type="cellIs" dxfId="77" priority="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27" xr:uid="{00000000-0002-0000-2C00-000000000000}">
      <formula1>SpecType</formula1>
      <formula2>0</formula2>
    </dataValidation>
    <dataValidation type="list" allowBlank="1" showInputMessage="1" showErrorMessage="1" sqref="G3 G5:G12 G14:G16 G18:G21 G23:G27" xr:uid="{00000000-0002-0000-2C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D8E5B1"/>
  </sheetPr>
  <dimension ref="A1:L153"/>
  <sheetViews>
    <sheetView topLeftCell="A64" zoomScale="90" zoomScaleNormal="90" zoomScalePageLayoutView="90" workbookViewId="0">
      <selection activeCell="B1" sqref="B1"/>
    </sheetView>
  </sheetViews>
  <sheetFormatPr defaultColWidth="9" defaultRowHeight="15.6" x14ac:dyDescent="0.3"/>
  <cols>
    <col min="1" max="1" width="12.59765625" style="113" customWidth="1"/>
    <col min="2" max="2" width="14.59765625" style="113" customWidth="1"/>
    <col min="3" max="3" width="65.59765625" style="114" customWidth="1"/>
    <col min="4" max="4" width="65.59765625" style="115" customWidth="1"/>
    <col min="5" max="5" width="10.59765625" style="115" customWidth="1"/>
    <col min="6" max="6" width="6.59765625" style="115" customWidth="1"/>
    <col min="7" max="7" width="30.59765625" style="115" customWidth="1"/>
    <col min="8" max="11" width="8.59765625" style="115" hidden="1" customWidth="1"/>
    <col min="12" max="12" width="9" style="115" hidden="1"/>
    <col min="13" max="16384" width="9" style="115"/>
  </cols>
  <sheetData>
    <row r="1" spans="1:11" s="124" customFormat="1" ht="105" customHeight="1" x14ac:dyDescent="0.25">
      <c r="A1" s="119" t="s">
        <v>102</v>
      </c>
      <c r="B1" s="119" t="s">
        <v>103</v>
      </c>
      <c r="C1" s="558"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row>
    <row r="2" spans="1:11" x14ac:dyDescent="0.3">
      <c r="A2" s="559" t="s">
        <v>1245</v>
      </c>
      <c r="B2" s="560"/>
      <c r="C2" s="561"/>
      <c r="D2" s="562"/>
      <c r="E2" s="563"/>
      <c r="F2" s="563"/>
      <c r="G2" s="563"/>
      <c r="H2" s="355">
        <f>COUNTA(B3:B92)</f>
        <v>83</v>
      </c>
      <c r="K2" s="115">
        <f>SUM(K3:K92)</f>
        <v>0</v>
      </c>
    </row>
    <row r="3" spans="1:11" ht="31.2" x14ac:dyDescent="0.3">
      <c r="A3" s="316"/>
      <c r="B3" s="126"/>
      <c r="C3" s="286" t="s">
        <v>1246</v>
      </c>
      <c r="D3" s="194"/>
      <c r="E3" s="180"/>
      <c r="F3" s="181"/>
      <c r="G3" s="182"/>
      <c r="H3" s="131">
        <f>COUNTIF(G:G,"=Select from Drop Down List")</f>
        <v>83</v>
      </c>
      <c r="I3" s="116"/>
      <c r="J3" s="116"/>
      <c r="K3" s="116"/>
    </row>
    <row r="4" spans="1:11" ht="30" customHeight="1" x14ac:dyDescent="0.3">
      <c r="A4" s="259" t="s">
        <v>1247</v>
      </c>
      <c r="B4" s="183" t="s">
        <v>43</v>
      </c>
      <c r="C4" s="278" t="s">
        <v>1248</v>
      </c>
      <c r="D4" s="185"/>
      <c r="E4" s="186"/>
      <c r="F4" s="191"/>
      <c r="G4" s="187" t="s">
        <v>101</v>
      </c>
      <c r="H4" s="131">
        <f>COUNTIF(G:G,"=Function Available")</f>
        <v>0</v>
      </c>
      <c r="I4" s="116">
        <f t="shared" ref="I4:I14" si="0">IF(NOT(ISBLANK($B4)),VLOOKUP($B4,specdata,2,FALSE()),"")</f>
        <v>1</v>
      </c>
      <c r="J4" s="116">
        <f t="shared" ref="J4:J14" si="1">VLOOKUP(G4,AvailabilityData,2,FALSE())</f>
        <v>0</v>
      </c>
      <c r="K4" s="116">
        <f t="shared" ref="K4:K14" si="2">I4*J4</f>
        <v>0</v>
      </c>
    </row>
    <row r="5" spans="1:11" ht="30" customHeight="1" x14ac:dyDescent="0.3">
      <c r="A5" s="259" t="s">
        <v>1249</v>
      </c>
      <c r="B5" s="133" t="s">
        <v>43</v>
      </c>
      <c r="C5" s="154" t="s">
        <v>1250</v>
      </c>
      <c r="D5" s="326"/>
      <c r="E5" s="168"/>
      <c r="F5" s="166"/>
      <c r="G5" s="137" t="s">
        <v>101</v>
      </c>
      <c r="H5" s="131">
        <f>COUNTIF(F:G,"=Function Not Available")</f>
        <v>0</v>
      </c>
      <c r="I5" s="116">
        <f t="shared" si="0"/>
        <v>1</v>
      </c>
      <c r="J5" s="116">
        <f t="shared" si="1"/>
        <v>0</v>
      </c>
      <c r="K5" s="116">
        <f t="shared" si="2"/>
        <v>0</v>
      </c>
    </row>
    <row r="6" spans="1:11" ht="30" customHeight="1" x14ac:dyDescent="0.3">
      <c r="A6" s="259" t="s">
        <v>1251</v>
      </c>
      <c r="B6" s="260" t="s">
        <v>43</v>
      </c>
      <c r="C6" s="441" t="s">
        <v>1252</v>
      </c>
      <c r="D6" s="138"/>
      <c r="E6" s="168"/>
      <c r="F6" s="173"/>
      <c r="G6" s="137" t="s">
        <v>101</v>
      </c>
      <c r="H6" s="131">
        <f>COUNTIF(G:G,"=Exception")</f>
        <v>0</v>
      </c>
      <c r="I6" s="116">
        <f t="shared" si="0"/>
        <v>1</v>
      </c>
      <c r="J6" s="116">
        <f t="shared" si="1"/>
        <v>0</v>
      </c>
      <c r="K6" s="116">
        <f t="shared" si="2"/>
        <v>0</v>
      </c>
    </row>
    <row r="7" spans="1:11" ht="30" customHeight="1" x14ac:dyDescent="0.3">
      <c r="A7" s="259" t="s">
        <v>1253</v>
      </c>
      <c r="B7" s="133" t="s">
        <v>43</v>
      </c>
      <c r="C7" s="441" t="s">
        <v>1254</v>
      </c>
      <c r="D7" s="138"/>
      <c r="E7" s="168"/>
      <c r="F7" s="137"/>
      <c r="G7" s="240" t="s">
        <v>101</v>
      </c>
      <c r="H7" s="140">
        <f>COUNTIFS(B:B,"=Critical",G:G,"=Select from Drop Down List")</f>
        <v>0</v>
      </c>
      <c r="I7" s="116">
        <f t="shared" si="0"/>
        <v>1</v>
      </c>
      <c r="J7" s="116">
        <f t="shared" si="1"/>
        <v>0</v>
      </c>
      <c r="K7" s="116">
        <f t="shared" si="2"/>
        <v>0</v>
      </c>
    </row>
    <row r="8" spans="1:11" ht="30" customHeight="1" x14ac:dyDescent="0.3">
      <c r="A8" s="259" t="s">
        <v>1255</v>
      </c>
      <c r="B8" s="133" t="s">
        <v>43</v>
      </c>
      <c r="C8" s="154" t="s">
        <v>1256</v>
      </c>
      <c r="D8" s="138"/>
      <c r="E8" s="168"/>
      <c r="F8" s="137"/>
      <c r="G8" s="240" t="s">
        <v>101</v>
      </c>
      <c r="H8" s="140">
        <f>COUNTIFS(B:B,"=Critical",G:G,"=Function Available")</f>
        <v>0</v>
      </c>
      <c r="I8" s="116">
        <f t="shared" si="0"/>
        <v>1</v>
      </c>
      <c r="J8" s="116">
        <f t="shared" si="1"/>
        <v>0</v>
      </c>
      <c r="K8" s="116">
        <f t="shared" si="2"/>
        <v>0</v>
      </c>
    </row>
    <row r="9" spans="1:11" ht="30" customHeight="1" x14ac:dyDescent="0.3">
      <c r="A9" s="259" t="s">
        <v>1257</v>
      </c>
      <c r="B9" s="133" t="s">
        <v>43</v>
      </c>
      <c r="C9" s="154" t="s">
        <v>1258</v>
      </c>
      <c r="D9" s="153"/>
      <c r="E9" s="168"/>
      <c r="F9" s="137"/>
      <c r="G9" s="240" t="s">
        <v>101</v>
      </c>
      <c r="H9" s="140">
        <f>COUNTIFS(B:B,"=Critical",G:G,"=Function Not Available")</f>
        <v>0</v>
      </c>
      <c r="I9" s="116">
        <f t="shared" si="0"/>
        <v>1</v>
      </c>
      <c r="J9" s="116">
        <f t="shared" si="1"/>
        <v>0</v>
      </c>
      <c r="K9" s="116">
        <f t="shared" si="2"/>
        <v>0</v>
      </c>
    </row>
    <row r="10" spans="1:11" ht="30" customHeight="1" x14ac:dyDescent="0.3">
      <c r="A10" s="259" t="s">
        <v>1259</v>
      </c>
      <c r="B10" s="133" t="s">
        <v>43</v>
      </c>
      <c r="C10" s="154" t="s">
        <v>1260</v>
      </c>
      <c r="D10" s="153"/>
      <c r="E10" s="168"/>
      <c r="F10" s="137"/>
      <c r="G10" s="240" t="s">
        <v>101</v>
      </c>
      <c r="H10" s="140">
        <f>COUNTIFS(B:B,"=Critical",G:G,"=Exception")</f>
        <v>0</v>
      </c>
      <c r="I10" s="116">
        <f t="shared" si="0"/>
        <v>1</v>
      </c>
      <c r="J10" s="116">
        <f t="shared" si="1"/>
        <v>0</v>
      </c>
      <c r="K10" s="116">
        <f t="shared" si="2"/>
        <v>0</v>
      </c>
    </row>
    <row r="11" spans="1:11" ht="30" customHeight="1" x14ac:dyDescent="0.3">
      <c r="A11" s="259" t="s">
        <v>1261</v>
      </c>
      <c r="B11" s="133" t="s">
        <v>43</v>
      </c>
      <c r="C11" s="154" t="s">
        <v>1262</v>
      </c>
      <c r="D11" s="138"/>
      <c r="E11" s="168"/>
      <c r="F11" s="137"/>
      <c r="G11" s="240" t="s">
        <v>101</v>
      </c>
      <c r="H11" s="146">
        <f>COUNTIFS(B:B,"=Important",G:G,"=Select from Drop Down List")</f>
        <v>83</v>
      </c>
      <c r="I11" s="116">
        <f t="shared" si="0"/>
        <v>1</v>
      </c>
      <c r="J11" s="116">
        <f t="shared" si="1"/>
        <v>0</v>
      </c>
      <c r="K11" s="116">
        <f t="shared" si="2"/>
        <v>0</v>
      </c>
    </row>
    <row r="12" spans="1:11" ht="30" customHeight="1" x14ac:dyDescent="0.3">
      <c r="A12" s="259" t="s">
        <v>1263</v>
      </c>
      <c r="B12" s="183" t="s">
        <v>43</v>
      </c>
      <c r="C12" s="154" t="s">
        <v>1264</v>
      </c>
      <c r="D12" s="138"/>
      <c r="E12" s="168"/>
      <c r="F12" s="191"/>
      <c r="G12" s="137" t="s">
        <v>101</v>
      </c>
      <c r="H12" s="146">
        <f>COUNTIFS(B:B,"=Important",G:G,"=Function Available")</f>
        <v>0</v>
      </c>
      <c r="I12" s="116">
        <f t="shared" si="0"/>
        <v>1</v>
      </c>
      <c r="J12" s="116">
        <f t="shared" si="1"/>
        <v>0</v>
      </c>
      <c r="K12" s="116">
        <f t="shared" si="2"/>
        <v>0</v>
      </c>
    </row>
    <row r="13" spans="1:11" ht="30" customHeight="1" x14ac:dyDescent="0.3">
      <c r="A13" s="259" t="s">
        <v>1265</v>
      </c>
      <c r="B13" s="183" t="s">
        <v>43</v>
      </c>
      <c r="C13" s="154" t="s">
        <v>1266</v>
      </c>
      <c r="D13" s="138"/>
      <c r="E13" s="168"/>
      <c r="F13" s="166"/>
      <c r="G13" s="137" t="s">
        <v>101</v>
      </c>
      <c r="H13" s="146">
        <f>COUNTIFS(B:B,"=Important",G:G,"=Function Not Available")</f>
        <v>0</v>
      </c>
      <c r="I13" s="116">
        <f t="shared" si="0"/>
        <v>1</v>
      </c>
      <c r="J13" s="116">
        <f t="shared" si="1"/>
        <v>0</v>
      </c>
      <c r="K13" s="116">
        <f t="shared" si="2"/>
        <v>0</v>
      </c>
    </row>
    <row r="14" spans="1:11" ht="30" customHeight="1" x14ac:dyDescent="0.3">
      <c r="A14" s="259" t="s">
        <v>1267</v>
      </c>
      <c r="B14" s="260" t="s">
        <v>43</v>
      </c>
      <c r="C14" s="273" t="s">
        <v>1268</v>
      </c>
      <c r="D14" s="323"/>
      <c r="E14" s="175"/>
      <c r="F14" s="173"/>
      <c r="G14" s="176" t="s">
        <v>101</v>
      </c>
      <c r="H14" s="146">
        <f>COUNTIFS(B:B,"=Important",G:G,"=Exception")</f>
        <v>0</v>
      </c>
      <c r="I14" s="116">
        <f t="shared" si="0"/>
        <v>1</v>
      </c>
      <c r="J14" s="116">
        <f t="shared" si="1"/>
        <v>0</v>
      </c>
      <c r="K14" s="116">
        <f t="shared" si="2"/>
        <v>0</v>
      </c>
    </row>
    <row r="15" spans="1:11" ht="30" customHeight="1" x14ac:dyDescent="0.3">
      <c r="A15" s="316"/>
      <c r="B15" s="126"/>
      <c r="C15" s="286" t="s">
        <v>1269</v>
      </c>
      <c r="D15" s="179"/>
      <c r="E15" s="180"/>
      <c r="F15" s="181"/>
      <c r="G15" s="182"/>
      <c r="H15" s="147">
        <f>COUNTIFS(B:B,"=Informational",G:G,"=Select from Drop Down List")</f>
        <v>0</v>
      </c>
      <c r="I15" s="116"/>
      <c r="J15" s="116"/>
      <c r="K15" s="116"/>
    </row>
    <row r="16" spans="1:11" ht="30" customHeight="1" x14ac:dyDescent="0.3">
      <c r="A16" s="259" t="s">
        <v>1270</v>
      </c>
      <c r="B16" s="183" t="s">
        <v>43</v>
      </c>
      <c r="C16" s="278" t="s">
        <v>1271</v>
      </c>
      <c r="D16" s="185"/>
      <c r="E16" s="186"/>
      <c r="F16" s="191"/>
      <c r="G16" s="187" t="s">
        <v>101</v>
      </c>
      <c r="H16" s="147">
        <f>COUNTIFS(B:B,"=Informational",G:G,"=Function Available")</f>
        <v>0</v>
      </c>
      <c r="I16" s="116">
        <f t="shared" ref="I16:I22" si="3">IF(NOT(ISBLANK($B16)),VLOOKUP($B16,specdata,2,FALSE()),"")</f>
        <v>1</v>
      </c>
      <c r="J16" s="116">
        <f t="shared" ref="J16:J22" si="4">VLOOKUP(G16,AvailabilityData,2,FALSE())</f>
        <v>0</v>
      </c>
      <c r="K16" s="116">
        <f t="shared" ref="K16:K22" si="5">I16*J16</f>
        <v>0</v>
      </c>
    </row>
    <row r="17" spans="1:11" ht="30" customHeight="1" x14ac:dyDescent="0.3">
      <c r="A17" s="259" t="s">
        <v>1272</v>
      </c>
      <c r="B17" s="183" t="s">
        <v>43</v>
      </c>
      <c r="C17" s="154" t="s">
        <v>1273</v>
      </c>
      <c r="D17" s="153"/>
      <c r="E17" s="168"/>
      <c r="F17" s="166"/>
      <c r="G17" s="137" t="s">
        <v>101</v>
      </c>
      <c r="H17" s="147">
        <f>COUNTIFS(B:B,"=Informational",G:G,"=Function Not Available")</f>
        <v>0</v>
      </c>
      <c r="I17" s="116">
        <f t="shared" si="3"/>
        <v>1</v>
      </c>
      <c r="J17" s="116">
        <f t="shared" si="4"/>
        <v>0</v>
      </c>
      <c r="K17" s="116">
        <f t="shared" si="5"/>
        <v>0</v>
      </c>
    </row>
    <row r="18" spans="1:11" ht="30" customHeight="1" x14ac:dyDescent="0.3">
      <c r="A18" s="259" t="s">
        <v>1274</v>
      </c>
      <c r="B18" s="183" t="s">
        <v>43</v>
      </c>
      <c r="C18" s="134" t="s">
        <v>1275</v>
      </c>
      <c r="D18" s="153"/>
      <c r="E18" s="168"/>
      <c r="F18" s="166"/>
      <c r="G18" s="137" t="s">
        <v>101</v>
      </c>
      <c r="H18" s="147">
        <f>COUNTIFS(B:B,"=Informational",G:G,"=Exception")</f>
        <v>0</v>
      </c>
      <c r="I18" s="116">
        <f t="shared" si="3"/>
        <v>1</v>
      </c>
      <c r="J18" s="116">
        <f t="shared" si="4"/>
        <v>0</v>
      </c>
      <c r="K18" s="116">
        <f t="shared" si="5"/>
        <v>0</v>
      </c>
    </row>
    <row r="19" spans="1:11" ht="30" customHeight="1" x14ac:dyDescent="0.3">
      <c r="A19" s="259" t="s">
        <v>1276</v>
      </c>
      <c r="B19" s="183" t="s">
        <v>43</v>
      </c>
      <c r="C19" s="134" t="s">
        <v>1277</v>
      </c>
      <c r="D19" s="138"/>
      <c r="E19" s="168"/>
      <c r="F19" s="166"/>
      <c r="G19" s="137" t="s">
        <v>101</v>
      </c>
      <c r="I19" s="116">
        <f t="shared" si="3"/>
        <v>1</v>
      </c>
      <c r="J19" s="116">
        <f t="shared" si="4"/>
        <v>0</v>
      </c>
      <c r="K19" s="116">
        <f t="shared" si="5"/>
        <v>0</v>
      </c>
    </row>
    <row r="20" spans="1:11" ht="46.8" x14ac:dyDescent="0.3">
      <c r="A20" s="259" t="s">
        <v>1278</v>
      </c>
      <c r="B20" s="183" t="s">
        <v>43</v>
      </c>
      <c r="C20" s="134" t="s">
        <v>1279</v>
      </c>
      <c r="D20" s="138"/>
      <c r="E20" s="168"/>
      <c r="F20" s="166"/>
      <c r="G20" s="137" t="s">
        <v>101</v>
      </c>
      <c r="I20" s="116">
        <f t="shared" si="3"/>
        <v>1</v>
      </c>
      <c r="J20" s="116">
        <f t="shared" si="4"/>
        <v>0</v>
      </c>
      <c r="K20" s="116">
        <f t="shared" si="5"/>
        <v>0</v>
      </c>
    </row>
    <row r="21" spans="1:11" ht="30" customHeight="1" x14ac:dyDescent="0.3">
      <c r="A21" s="259" t="s">
        <v>1280</v>
      </c>
      <c r="B21" s="183" t="s">
        <v>43</v>
      </c>
      <c r="C21" s="134" t="s">
        <v>1281</v>
      </c>
      <c r="D21" s="138"/>
      <c r="E21" s="168"/>
      <c r="F21" s="166"/>
      <c r="G21" s="137" t="s">
        <v>101</v>
      </c>
      <c r="I21" s="116">
        <f t="shared" si="3"/>
        <v>1</v>
      </c>
      <c r="J21" s="116">
        <f t="shared" si="4"/>
        <v>0</v>
      </c>
      <c r="K21" s="116">
        <f t="shared" si="5"/>
        <v>0</v>
      </c>
    </row>
    <row r="22" spans="1:11" ht="30" customHeight="1" x14ac:dyDescent="0.3">
      <c r="A22" s="259" t="s">
        <v>1282</v>
      </c>
      <c r="B22" s="260" t="s">
        <v>43</v>
      </c>
      <c r="C22" s="271" t="s">
        <v>1283</v>
      </c>
      <c r="D22" s="323"/>
      <c r="E22" s="175"/>
      <c r="F22" s="173"/>
      <c r="G22" s="176" t="s">
        <v>101</v>
      </c>
      <c r="I22" s="116">
        <f t="shared" si="3"/>
        <v>1</v>
      </c>
      <c r="J22" s="116">
        <f t="shared" si="4"/>
        <v>0</v>
      </c>
      <c r="K22" s="116">
        <f t="shared" si="5"/>
        <v>0</v>
      </c>
    </row>
    <row r="23" spans="1:11" x14ac:dyDescent="0.3">
      <c r="A23" s="316"/>
      <c r="B23" s="126"/>
      <c r="C23" s="286" t="s">
        <v>1284</v>
      </c>
      <c r="D23" s="194"/>
      <c r="E23" s="180"/>
      <c r="F23" s="181"/>
      <c r="G23" s="182"/>
      <c r="I23" s="116"/>
      <c r="J23" s="116"/>
      <c r="K23" s="116"/>
    </row>
    <row r="24" spans="1:11" ht="30" customHeight="1" x14ac:dyDescent="0.3">
      <c r="A24" s="259" t="s">
        <v>1285</v>
      </c>
      <c r="B24" s="183" t="s">
        <v>43</v>
      </c>
      <c r="C24" s="278" t="s">
        <v>1286</v>
      </c>
      <c r="D24" s="185"/>
      <c r="E24" s="186"/>
      <c r="F24" s="191"/>
      <c r="G24" s="187" t="s">
        <v>101</v>
      </c>
      <c r="I24" s="116">
        <f t="shared" ref="I24:I67" si="6">IF(NOT(ISBLANK($B24)),VLOOKUP($B24,specdata,2,FALSE()),"")</f>
        <v>1</v>
      </c>
      <c r="J24" s="116">
        <f t="shared" ref="J24:J67" si="7">VLOOKUP(G24,AvailabilityData,2,FALSE())</f>
        <v>0</v>
      </c>
      <c r="K24" s="116">
        <f t="shared" ref="K24:K67" si="8">I24*J24</f>
        <v>0</v>
      </c>
    </row>
    <row r="25" spans="1:11" ht="30" customHeight="1" x14ac:dyDescent="0.3">
      <c r="A25" s="259" t="s">
        <v>1287</v>
      </c>
      <c r="B25" s="183" t="s">
        <v>43</v>
      </c>
      <c r="C25" s="154" t="s">
        <v>1288</v>
      </c>
      <c r="D25" s="138"/>
      <c r="E25" s="168"/>
      <c r="F25" s="166"/>
      <c r="G25" s="137" t="s">
        <v>101</v>
      </c>
      <c r="I25" s="116">
        <f t="shared" si="6"/>
        <v>1</v>
      </c>
      <c r="J25" s="116">
        <f t="shared" si="7"/>
        <v>0</v>
      </c>
      <c r="K25" s="116">
        <f t="shared" si="8"/>
        <v>0</v>
      </c>
    </row>
    <row r="26" spans="1:11" ht="30" customHeight="1" x14ac:dyDescent="0.3">
      <c r="A26" s="259" t="s">
        <v>1289</v>
      </c>
      <c r="B26" s="183" t="s">
        <v>43</v>
      </c>
      <c r="C26" s="154" t="s">
        <v>1290</v>
      </c>
      <c r="D26" s="153"/>
      <c r="E26" s="168"/>
      <c r="F26" s="166"/>
      <c r="G26" s="137" t="s">
        <v>101</v>
      </c>
      <c r="I26" s="116">
        <f t="shared" si="6"/>
        <v>1</v>
      </c>
      <c r="J26" s="116">
        <f t="shared" si="7"/>
        <v>0</v>
      </c>
      <c r="K26" s="116">
        <f t="shared" si="8"/>
        <v>0</v>
      </c>
    </row>
    <row r="27" spans="1:11" ht="30" customHeight="1" x14ac:dyDescent="0.3">
      <c r="A27" s="259" t="s">
        <v>1291</v>
      </c>
      <c r="B27" s="183" t="s">
        <v>43</v>
      </c>
      <c r="C27" s="154" t="s">
        <v>1292</v>
      </c>
      <c r="D27" s="138"/>
      <c r="E27" s="168"/>
      <c r="F27" s="166"/>
      <c r="G27" s="137" t="s">
        <v>101</v>
      </c>
      <c r="I27" s="116">
        <f t="shared" si="6"/>
        <v>1</v>
      </c>
      <c r="J27" s="116">
        <f t="shared" si="7"/>
        <v>0</v>
      </c>
      <c r="K27" s="116">
        <f t="shared" si="8"/>
        <v>0</v>
      </c>
    </row>
    <row r="28" spans="1:11" ht="30" customHeight="1" x14ac:dyDescent="0.3">
      <c r="A28" s="259" t="s">
        <v>1293</v>
      </c>
      <c r="B28" s="183" t="s">
        <v>43</v>
      </c>
      <c r="C28" s="154" t="s">
        <v>1294</v>
      </c>
      <c r="D28" s="153"/>
      <c r="E28" s="168"/>
      <c r="F28" s="166"/>
      <c r="G28" s="137" t="s">
        <v>101</v>
      </c>
      <c r="I28" s="116">
        <f t="shared" si="6"/>
        <v>1</v>
      </c>
      <c r="J28" s="116">
        <f t="shared" si="7"/>
        <v>0</v>
      </c>
      <c r="K28" s="116">
        <f t="shared" si="8"/>
        <v>0</v>
      </c>
    </row>
    <row r="29" spans="1:11" ht="30" customHeight="1" x14ac:dyDescent="0.3">
      <c r="A29" s="259" t="s">
        <v>1295</v>
      </c>
      <c r="B29" s="183" t="s">
        <v>43</v>
      </c>
      <c r="C29" s="154" t="s">
        <v>1296</v>
      </c>
      <c r="D29" s="153"/>
      <c r="E29" s="168"/>
      <c r="F29" s="166"/>
      <c r="G29" s="137" t="s">
        <v>101</v>
      </c>
      <c r="I29" s="116">
        <f t="shared" si="6"/>
        <v>1</v>
      </c>
      <c r="J29" s="116">
        <f t="shared" si="7"/>
        <v>0</v>
      </c>
      <c r="K29" s="116">
        <f t="shared" si="8"/>
        <v>0</v>
      </c>
    </row>
    <row r="30" spans="1:11" ht="30" customHeight="1" x14ac:dyDescent="0.3">
      <c r="A30" s="259" t="s">
        <v>1297</v>
      </c>
      <c r="B30" s="183" t="s">
        <v>43</v>
      </c>
      <c r="C30" s="154" t="s">
        <v>1298</v>
      </c>
      <c r="D30" s="138"/>
      <c r="E30" s="168"/>
      <c r="F30" s="166"/>
      <c r="G30" s="137" t="s">
        <v>101</v>
      </c>
      <c r="I30" s="116">
        <f t="shared" si="6"/>
        <v>1</v>
      </c>
      <c r="J30" s="116">
        <f t="shared" si="7"/>
        <v>0</v>
      </c>
      <c r="K30" s="116">
        <f t="shared" si="8"/>
        <v>0</v>
      </c>
    </row>
    <row r="31" spans="1:11" ht="30" customHeight="1" x14ac:dyDescent="0.3">
      <c r="A31" s="259" t="s">
        <v>1299</v>
      </c>
      <c r="B31" s="183" t="s">
        <v>43</v>
      </c>
      <c r="C31" s="154" t="s">
        <v>1300</v>
      </c>
      <c r="D31" s="138"/>
      <c r="E31" s="168"/>
      <c r="F31" s="166"/>
      <c r="G31" s="137" t="s">
        <v>101</v>
      </c>
      <c r="I31" s="116">
        <f t="shared" si="6"/>
        <v>1</v>
      </c>
      <c r="J31" s="116">
        <f t="shared" si="7"/>
        <v>0</v>
      </c>
      <c r="K31" s="116">
        <f t="shared" si="8"/>
        <v>0</v>
      </c>
    </row>
    <row r="32" spans="1:11" ht="30" customHeight="1" x14ac:dyDescent="0.3">
      <c r="A32" s="259" t="s">
        <v>1301</v>
      </c>
      <c r="B32" s="183" t="s">
        <v>43</v>
      </c>
      <c r="C32" s="154" t="s">
        <v>1302</v>
      </c>
      <c r="D32" s="138"/>
      <c r="E32" s="168"/>
      <c r="F32" s="166"/>
      <c r="G32" s="137" t="s">
        <v>101</v>
      </c>
      <c r="I32" s="116">
        <f t="shared" si="6"/>
        <v>1</v>
      </c>
      <c r="J32" s="116">
        <f t="shared" si="7"/>
        <v>0</v>
      </c>
      <c r="K32" s="116">
        <f t="shared" si="8"/>
        <v>0</v>
      </c>
    </row>
    <row r="33" spans="1:11" ht="30" customHeight="1" x14ac:dyDescent="0.3">
      <c r="A33" s="259" t="s">
        <v>1303</v>
      </c>
      <c r="B33" s="183" t="s">
        <v>43</v>
      </c>
      <c r="C33" s="154" t="s">
        <v>1304</v>
      </c>
      <c r="D33" s="153"/>
      <c r="E33" s="168"/>
      <c r="F33" s="166"/>
      <c r="G33" s="137" t="s">
        <v>101</v>
      </c>
      <c r="I33" s="116">
        <f t="shared" si="6"/>
        <v>1</v>
      </c>
      <c r="J33" s="116">
        <f t="shared" si="7"/>
        <v>0</v>
      </c>
      <c r="K33" s="116">
        <f t="shared" si="8"/>
        <v>0</v>
      </c>
    </row>
    <row r="34" spans="1:11" ht="30" customHeight="1" x14ac:dyDescent="0.3">
      <c r="A34" s="259" t="s">
        <v>1305</v>
      </c>
      <c r="B34" s="183" t="s">
        <v>43</v>
      </c>
      <c r="C34" s="154" t="s">
        <v>1306</v>
      </c>
      <c r="D34" s="153"/>
      <c r="E34" s="168"/>
      <c r="F34" s="166"/>
      <c r="G34" s="137" t="s">
        <v>101</v>
      </c>
      <c r="I34" s="116">
        <f t="shared" si="6"/>
        <v>1</v>
      </c>
      <c r="J34" s="116">
        <f t="shared" si="7"/>
        <v>0</v>
      </c>
      <c r="K34" s="116">
        <f t="shared" si="8"/>
        <v>0</v>
      </c>
    </row>
    <row r="35" spans="1:11" ht="30" customHeight="1" x14ac:dyDescent="0.3">
      <c r="A35" s="259" t="s">
        <v>1307</v>
      </c>
      <c r="B35" s="183" t="s">
        <v>43</v>
      </c>
      <c r="C35" s="154" t="s">
        <v>195</v>
      </c>
      <c r="D35" s="153"/>
      <c r="E35" s="168"/>
      <c r="F35" s="166"/>
      <c r="G35" s="137" t="s">
        <v>101</v>
      </c>
      <c r="I35" s="116">
        <f t="shared" si="6"/>
        <v>1</v>
      </c>
      <c r="J35" s="116">
        <f t="shared" si="7"/>
        <v>0</v>
      </c>
      <c r="K35" s="116">
        <f t="shared" si="8"/>
        <v>0</v>
      </c>
    </row>
    <row r="36" spans="1:11" ht="30" customHeight="1" x14ac:dyDescent="0.3">
      <c r="A36" s="259" t="s">
        <v>1308</v>
      </c>
      <c r="B36" s="183" t="s">
        <v>43</v>
      </c>
      <c r="C36" s="154" t="s">
        <v>1309</v>
      </c>
      <c r="D36" s="138"/>
      <c r="E36" s="168"/>
      <c r="F36" s="166"/>
      <c r="G36" s="137" t="s">
        <v>101</v>
      </c>
      <c r="I36" s="116">
        <f t="shared" si="6"/>
        <v>1</v>
      </c>
      <c r="J36" s="116">
        <f t="shared" si="7"/>
        <v>0</v>
      </c>
      <c r="K36" s="116">
        <f t="shared" si="8"/>
        <v>0</v>
      </c>
    </row>
    <row r="37" spans="1:11" ht="30" customHeight="1" x14ac:dyDescent="0.3">
      <c r="A37" s="259" t="s">
        <v>1310</v>
      </c>
      <c r="B37" s="183" t="s">
        <v>43</v>
      </c>
      <c r="C37" s="154" t="s">
        <v>1311</v>
      </c>
      <c r="D37" s="138"/>
      <c r="E37" s="168"/>
      <c r="F37" s="166"/>
      <c r="G37" s="137" t="s">
        <v>101</v>
      </c>
      <c r="I37" s="116">
        <f t="shared" si="6"/>
        <v>1</v>
      </c>
      <c r="J37" s="116">
        <f t="shared" si="7"/>
        <v>0</v>
      </c>
      <c r="K37" s="116">
        <f t="shared" si="8"/>
        <v>0</v>
      </c>
    </row>
    <row r="38" spans="1:11" ht="30" customHeight="1" x14ac:dyDescent="0.3">
      <c r="A38" s="259" t="s">
        <v>1312</v>
      </c>
      <c r="B38" s="183" t="s">
        <v>43</v>
      </c>
      <c r="C38" s="154" t="s">
        <v>1313</v>
      </c>
      <c r="D38" s="153"/>
      <c r="E38" s="168"/>
      <c r="F38" s="166"/>
      <c r="G38" s="137" t="s">
        <v>101</v>
      </c>
      <c r="I38" s="116">
        <f t="shared" si="6"/>
        <v>1</v>
      </c>
      <c r="J38" s="116">
        <f t="shared" si="7"/>
        <v>0</v>
      </c>
      <c r="K38" s="116">
        <f t="shared" si="8"/>
        <v>0</v>
      </c>
    </row>
    <row r="39" spans="1:11" ht="30" customHeight="1" x14ac:dyDescent="0.3">
      <c r="A39" s="259" t="s">
        <v>1314</v>
      </c>
      <c r="B39" s="183" t="s">
        <v>43</v>
      </c>
      <c r="C39" s="154" t="s">
        <v>1315</v>
      </c>
      <c r="D39" s="153"/>
      <c r="E39" s="168"/>
      <c r="F39" s="166"/>
      <c r="G39" s="137" t="s">
        <v>101</v>
      </c>
      <c r="I39" s="116">
        <f t="shared" si="6"/>
        <v>1</v>
      </c>
      <c r="J39" s="116">
        <f t="shared" si="7"/>
        <v>0</v>
      </c>
      <c r="K39" s="116">
        <f t="shared" si="8"/>
        <v>0</v>
      </c>
    </row>
    <row r="40" spans="1:11" ht="30" customHeight="1" x14ac:dyDescent="0.3">
      <c r="A40" s="259" t="s">
        <v>1316</v>
      </c>
      <c r="B40" s="183" t="s">
        <v>43</v>
      </c>
      <c r="C40" s="154" t="s">
        <v>1317</v>
      </c>
      <c r="D40" s="153"/>
      <c r="E40" s="168"/>
      <c r="F40" s="166"/>
      <c r="G40" s="137" t="s">
        <v>101</v>
      </c>
      <c r="I40" s="116">
        <f t="shared" si="6"/>
        <v>1</v>
      </c>
      <c r="J40" s="116">
        <f t="shared" si="7"/>
        <v>0</v>
      </c>
      <c r="K40" s="116">
        <f t="shared" si="8"/>
        <v>0</v>
      </c>
    </row>
    <row r="41" spans="1:11" ht="30" customHeight="1" x14ac:dyDescent="0.3">
      <c r="A41" s="259" t="s">
        <v>1318</v>
      </c>
      <c r="B41" s="183" t="s">
        <v>43</v>
      </c>
      <c r="C41" s="154" t="s">
        <v>1319</v>
      </c>
      <c r="D41" s="153"/>
      <c r="E41" s="168"/>
      <c r="F41" s="166"/>
      <c r="G41" s="137" t="s">
        <v>101</v>
      </c>
      <c r="I41" s="116">
        <f t="shared" si="6"/>
        <v>1</v>
      </c>
      <c r="J41" s="116">
        <f t="shared" si="7"/>
        <v>0</v>
      </c>
      <c r="K41" s="116">
        <f t="shared" si="8"/>
        <v>0</v>
      </c>
    </row>
    <row r="42" spans="1:11" ht="30" customHeight="1" x14ac:dyDescent="0.3">
      <c r="A42" s="259" t="s">
        <v>1320</v>
      </c>
      <c r="B42" s="183" t="s">
        <v>43</v>
      </c>
      <c r="C42" s="154" t="s">
        <v>1321</v>
      </c>
      <c r="D42" s="153"/>
      <c r="E42" s="168"/>
      <c r="F42" s="166"/>
      <c r="G42" s="137" t="s">
        <v>101</v>
      </c>
      <c r="I42" s="116">
        <f t="shared" si="6"/>
        <v>1</v>
      </c>
      <c r="J42" s="116">
        <f t="shared" si="7"/>
        <v>0</v>
      </c>
      <c r="K42" s="116">
        <f t="shared" si="8"/>
        <v>0</v>
      </c>
    </row>
    <row r="43" spans="1:11" ht="30" customHeight="1" x14ac:dyDescent="0.3">
      <c r="A43" s="259" t="s">
        <v>1322</v>
      </c>
      <c r="B43" s="183" t="s">
        <v>43</v>
      </c>
      <c r="C43" s="154" t="s">
        <v>1323</v>
      </c>
      <c r="D43" s="153"/>
      <c r="E43" s="168"/>
      <c r="F43" s="166"/>
      <c r="G43" s="137" t="s">
        <v>101</v>
      </c>
      <c r="I43" s="116">
        <f t="shared" si="6"/>
        <v>1</v>
      </c>
      <c r="J43" s="116">
        <f t="shared" si="7"/>
        <v>0</v>
      </c>
      <c r="K43" s="116">
        <f t="shared" si="8"/>
        <v>0</v>
      </c>
    </row>
    <row r="44" spans="1:11" ht="30" customHeight="1" x14ac:dyDescent="0.3">
      <c r="A44" s="259" t="s">
        <v>1324</v>
      </c>
      <c r="B44" s="183" t="s">
        <v>43</v>
      </c>
      <c r="C44" s="154" t="s">
        <v>1325</v>
      </c>
      <c r="D44" s="153"/>
      <c r="E44" s="168"/>
      <c r="F44" s="166"/>
      <c r="G44" s="137" t="s">
        <v>101</v>
      </c>
      <c r="I44" s="116">
        <f t="shared" si="6"/>
        <v>1</v>
      </c>
      <c r="J44" s="116">
        <f t="shared" si="7"/>
        <v>0</v>
      </c>
      <c r="K44" s="116">
        <f t="shared" si="8"/>
        <v>0</v>
      </c>
    </row>
    <row r="45" spans="1:11" ht="30" customHeight="1" x14ac:dyDescent="0.3">
      <c r="A45" s="259" t="s">
        <v>1326</v>
      </c>
      <c r="B45" s="183" t="s">
        <v>43</v>
      </c>
      <c r="C45" s="154" t="s">
        <v>1327</v>
      </c>
      <c r="D45" s="138"/>
      <c r="E45" s="168"/>
      <c r="F45" s="166"/>
      <c r="G45" s="137" t="s">
        <v>101</v>
      </c>
      <c r="I45" s="116">
        <f t="shared" si="6"/>
        <v>1</v>
      </c>
      <c r="J45" s="116">
        <f t="shared" si="7"/>
        <v>0</v>
      </c>
      <c r="K45" s="116">
        <f t="shared" si="8"/>
        <v>0</v>
      </c>
    </row>
    <row r="46" spans="1:11" ht="30" customHeight="1" x14ac:dyDescent="0.3">
      <c r="A46" s="259" t="s">
        <v>1328</v>
      </c>
      <c r="B46" s="183" t="s">
        <v>43</v>
      </c>
      <c r="C46" s="154" t="s">
        <v>1329</v>
      </c>
      <c r="D46" s="138"/>
      <c r="E46" s="168"/>
      <c r="F46" s="166"/>
      <c r="G46" s="137" t="s">
        <v>101</v>
      </c>
      <c r="I46" s="116">
        <f t="shared" si="6"/>
        <v>1</v>
      </c>
      <c r="J46" s="116">
        <f t="shared" si="7"/>
        <v>0</v>
      </c>
      <c r="K46" s="116">
        <f t="shared" si="8"/>
        <v>0</v>
      </c>
    </row>
    <row r="47" spans="1:11" ht="30" customHeight="1" x14ac:dyDescent="0.3">
      <c r="A47" s="259" t="s">
        <v>1330</v>
      </c>
      <c r="B47" s="183" t="s">
        <v>43</v>
      </c>
      <c r="C47" s="154" t="s">
        <v>1331</v>
      </c>
      <c r="D47" s="138"/>
      <c r="E47" s="168"/>
      <c r="F47" s="166"/>
      <c r="G47" s="137" t="s">
        <v>101</v>
      </c>
      <c r="I47" s="116">
        <f t="shared" si="6"/>
        <v>1</v>
      </c>
      <c r="J47" s="116">
        <f t="shared" si="7"/>
        <v>0</v>
      </c>
      <c r="K47" s="116">
        <f t="shared" si="8"/>
        <v>0</v>
      </c>
    </row>
    <row r="48" spans="1:11" ht="30" customHeight="1" x14ac:dyDescent="0.3">
      <c r="A48" s="259" t="s">
        <v>1332</v>
      </c>
      <c r="B48" s="183" t="s">
        <v>43</v>
      </c>
      <c r="C48" s="154" t="s">
        <v>1333</v>
      </c>
      <c r="D48" s="138"/>
      <c r="E48" s="168"/>
      <c r="F48" s="166"/>
      <c r="G48" s="137" t="s">
        <v>101</v>
      </c>
      <c r="I48" s="116">
        <f t="shared" si="6"/>
        <v>1</v>
      </c>
      <c r="J48" s="116">
        <f t="shared" si="7"/>
        <v>0</v>
      </c>
      <c r="K48" s="116">
        <f t="shared" si="8"/>
        <v>0</v>
      </c>
    </row>
    <row r="49" spans="1:11" ht="30" customHeight="1" x14ac:dyDescent="0.3">
      <c r="A49" s="259" t="s">
        <v>1334</v>
      </c>
      <c r="B49" s="183" t="s">
        <v>43</v>
      </c>
      <c r="C49" s="154" t="s">
        <v>1335</v>
      </c>
      <c r="D49" s="138"/>
      <c r="E49" s="168"/>
      <c r="F49" s="166"/>
      <c r="G49" s="137" t="s">
        <v>101</v>
      </c>
      <c r="I49" s="116">
        <f t="shared" si="6"/>
        <v>1</v>
      </c>
      <c r="J49" s="116">
        <f t="shared" si="7"/>
        <v>0</v>
      </c>
      <c r="K49" s="116">
        <f t="shared" si="8"/>
        <v>0</v>
      </c>
    </row>
    <row r="50" spans="1:11" ht="30" customHeight="1" x14ac:dyDescent="0.3">
      <c r="A50" s="259" t="s">
        <v>1336</v>
      </c>
      <c r="B50" s="183" t="s">
        <v>43</v>
      </c>
      <c r="C50" s="154" t="s">
        <v>1337</v>
      </c>
      <c r="D50" s="138"/>
      <c r="E50" s="168"/>
      <c r="F50" s="166"/>
      <c r="G50" s="137" t="s">
        <v>101</v>
      </c>
      <c r="I50" s="116">
        <f t="shared" si="6"/>
        <v>1</v>
      </c>
      <c r="J50" s="116">
        <f t="shared" si="7"/>
        <v>0</v>
      </c>
      <c r="K50" s="116">
        <f t="shared" si="8"/>
        <v>0</v>
      </c>
    </row>
    <row r="51" spans="1:11" ht="30" customHeight="1" x14ac:dyDescent="0.3">
      <c r="A51" s="259" t="s">
        <v>1338</v>
      </c>
      <c r="B51" s="183" t="s">
        <v>43</v>
      </c>
      <c r="C51" s="154" t="s">
        <v>1339</v>
      </c>
      <c r="D51" s="138"/>
      <c r="E51" s="168"/>
      <c r="F51" s="166"/>
      <c r="G51" s="137" t="s">
        <v>101</v>
      </c>
      <c r="I51" s="116">
        <f t="shared" si="6"/>
        <v>1</v>
      </c>
      <c r="J51" s="116">
        <f t="shared" si="7"/>
        <v>0</v>
      </c>
      <c r="K51" s="116">
        <f t="shared" si="8"/>
        <v>0</v>
      </c>
    </row>
    <row r="52" spans="1:11" ht="30" customHeight="1" x14ac:dyDescent="0.3">
      <c r="A52" s="259" t="s">
        <v>1340</v>
      </c>
      <c r="B52" s="183" t="s">
        <v>43</v>
      </c>
      <c r="C52" s="154" t="s">
        <v>1341</v>
      </c>
      <c r="D52" s="138"/>
      <c r="E52" s="168"/>
      <c r="F52" s="166"/>
      <c r="G52" s="137" t="s">
        <v>101</v>
      </c>
      <c r="I52" s="116">
        <f t="shared" si="6"/>
        <v>1</v>
      </c>
      <c r="J52" s="116">
        <f t="shared" si="7"/>
        <v>0</v>
      </c>
      <c r="K52" s="116">
        <f t="shared" si="8"/>
        <v>0</v>
      </c>
    </row>
    <row r="53" spans="1:11" ht="30" customHeight="1" x14ac:dyDescent="0.3">
      <c r="A53" s="259" t="s">
        <v>1342</v>
      </c>
      <c r="B53" s="183" t="s">
        <v>43</v>
      </c>
      <c r="C53" s="154" t="s">
        <v>1343</v>
      </c>
      <c r="D53" s="153"/>
      <c r="E53" s="168"/>
      <c r="F53" s="166"/>
      <c r="G53" s="137" t="s">
        <v>101</v>
      </c>
      <c r="I53" s="116">
        <f t="shared" si="6"/>
        <v>1</v>
      </c>
      <c r="J53" s="116">
        <f t="shared" si="7"/>
        <v>0</v>
      </c>
      <c r="K53" s="116">
        <f t="shared" si="8"/>
        <v>0</v>
      </c>
    </row>
    <row r="54" spans="1:11" ht="30" customHeight="1" x14ac:dyDescent="0.3">
      <c r="A54" s="259" t="s">
        <v>1344</v>
      </c>
      <c r="B54" s="183" t="s">
        <v>43</v>
      </c>
      <c r="C54" s="154" t="s">
        <v>1087</v>
      </c>
      <c r="D54" s="153"/>
      <c r="E54" s="168"/>
      <c r="F54" s="166"/>
      <c r="G54" s="137" t="s">
        <v>101</v>
      </c>
      <c r="I54" s="116">
        <f t="shared" si="6"/>
        <v>1</v>
      </c>
      <c r="J54" s="116">
        <f t="shared" si="7"/>
        <v>0</v>
      </c>
      <c r="K54" s="116">
        <f t="shared" si="8"/>
        <v>0</v>
      </c>
    </row>
    <row r="55" spans="1:11" ht="30" customHeight="1" x14ac:dyDescent="0.3">
      <c r="A55" s="259" t="s">
        <v>1345</v>
      </c>
      <c r="B55" s="183" t="s">
        <v>43</v>
      </c>
      <c r="C55" s="154" t="s">
        <v>1088</v>
      </c>
      <c r="D55" s="138"/>
      <c r="E55" s="168"/>
      <c r="F55" s="166"/>
      <c r="G55" s="137" t="s">
        <v>101</v>
      </c>
      <c r="I55" s="116">
        <f t="shared" si="6"/>
        <v>1</v>
      </c>
      <c r="J55" s="116">
        <f t="shared" si="7"/>
        <v>0</v>
      </c>
      <c r="K55" s="116">
        <f t="shared" si="8"/>
        <v>0</v>
      </c>
    </row>
    <row r="56" spans="1:11" ht="30" customHeight="1" x14ac:dyDescent="0.3">
      <c r="A56" s="259" t="s">
        <v>1346</v>
      </c>
      <c r="B56" s="183" t="s">
        <v>43</v>
      </c>
      <c r="C56" s="154" t="s">
        <v>1089</v>
      </c>
      <c r="D56" s="153"/>
      <c r="E56" s="168"/>
      <c r="F56" s="166"/>
      <c r="G56" s="137" t="s">
        <v>101</v>
      </c>
      <c r="I56" s="116">
        <f t="shared" si="6"/>
        <v>1</v>
      </c>
      <c r="J56" s="116">
        <f t="shared" si="7"/>
        <v>0</v>
      </c>
      <c r="K56" s="116">
        <f t="shared" si="8"/>
        <v>0</v>
      </c>
    </row>
    <row r="57" spans="1:11" ht="30" customHeight="1" x14ac:dyDescent="0.3">
      <c r="A57" s="259" t="s">
        <v>1347</v>
      </c>
      <c r="B57" s="183" t="s">
        <v>43</v>
      </c>
      <c r="C57" s="154" t="s">
        <v>1090</v>
      </c>
      <c r="D57" s="153"/>
      <c r="E57" s="168"/>
      <c r="F57" s="166"/>
      <c r="G57" s="137" t="s">
        <v>101</v>
      </c>
      <c r="I57" s="116">
        <f t="shared" si="6"/>
        <v>1</v>
      </c>
      <c r="J57" s="116">
        <f t="shared" si="7"/>
        <v>0</v>
      </c>
      <c r="K57" s="116">
        <f t="shared" si="8"/>
        <v>0</v>
      </c>
    </row>
    <row r="58" spans="1:11" ht="30" customHeight="1" x14ac:dyDescent="0.3">
      <c r="A58" s="259" t="s">
        <v>1348</v>
      </c>
      <c r="B58" s="183" t="s">
        <v>43</v>
      </c>
      <c r="C58" s="154" t="s">
        <v>1091</v>
      </c>
      <c r="D58" s="138"/>
      <c r="E58" s="168"/>
      <c r="F58" s="166"/>
      <c r="G58" s="137" t="s">
        <v>101</v>
      </c>
      <c r="I58" s="116">
        <f t="shared" si="6"/>
        <v>1</v>
      </c>
      <c r="J58" s="116">
        <f t="shared" si="7"/>
        <v>0</v>
      </c>
      <c r="K58" s="116">
        <f t="shared" si="8"/>
        <v>0</v>
      </c>
    </row>
    <row r="59" spans="1:11" ht="30" customHeight="1" x14ac:dyDescent="0.3">
      <c r="A59" s="259" t="s">
        <v>1349</v>
      </c>
      <c r="B59" s="183" t="s">
        <v>43</v>
      </c>
      <c r="C59" s="154" t="s">
        <v>1092</v>
      </c>
      <c r="D59" s="138"/>
      <c r="E59" s="168"/>
      <c r="F59" s="166"/>
      <c r="G59" s="137" t="s">
        <v>101</v>
      </c>
      <c r="I59" s="116">
        <f t="shared" si="6"/>
        <v>1</v>
      </c>
      <c r="J59" s="116">
        <f t="shared" si="7"/>
        <v>0</v>
      </c>
      <c r="K59" s="116">
        <f t="shared" si="8"/>
        <v>0</v>
      </c>
    </row>
    <row r="60" spans="1:11" ht="30" customHeight="1" x14ac:dyDescent="0.3">
      <c r="A60" s="259" t="s">
        <v>1350</v>
      </c>
      <c r="B60" s="133" t="s">
        <v>43</v>
      </c>
      <c r="C60" s="154" t="s">
        <v>1093</v>
      </c>
      <c r="D60" s="153"/>
      <c r="E60" s="168"/>
      <c r="F60" s="137"/>
      <c r="G60" s="137" t="s">
        <v>101</v>
      </c>
      <c r="I60" s="116">
        <f t="shared" si="6"/>
        <v>1</v>
      </c>
      <c r="J60" s="116">
        <f t="shared" si="7"/>
        <v>0</v>
      </c>
      <c r="K60" s="116">
        <f t="shared" si="8"/>
        <v>0</v>
      </c>
    </row>
    <row r="61" spans="1:11" ht="30" customHeight="1" x14ac:dyDescent="0.3">
      <c r="A61" s="259" t="s">
        <v>1351</v>
      </c>
      <c r="B61" s="133" t="s">
        <v>43</v>
      </c>
      <c r="C61" s="154" t="s">
        <v>1082</v>
      </c>
      <c r="D61" s="153"/>
      <c r="E61" s="168"/>
      <c r="F61" s="137"/>
      <c r="G61" s="137" t="s">
        <v>101</v>
      </c>
      <c r="I61" s="116">
        <f t="shared" si="6"/>
        <v>1</v>
      </c>
      <c r="J61" s="116">
        <f t="shared" si="7"/>
        <v>0</v>
      </c>
      <c r="K61" s="116">
        <f t="shared" si="8"/>
        <v>0</v>
      </c>
    </row>
    <row r="62" spans="1:11" ht="30" customHeight="1" x14ac:dyDescent="0.3">
      <c r="A62" s="259" t="s">
        <v>1352</v>
      </c>
      <c r="B62" s="183" t="s">
        <v>43</v>
      </c>
      <c r="C62" s="154" t="s">
        <v>1353</v>
      </c>
      <c r="D62" s="138"/>
      <c r="E62" s="168"/>
      <c r="F62" s="137"/>
      <c r="G62" s="137" t="s">
        <v>101</v>
      </c>
      <c r="I62" s="116">
        <f t="shared" si="6"/>
        <v>1</v>
      </c>
      <c r="J62" s="116">
        <f t="shared" si="7"/>
        <v>0</v>
      </c>
      <c r="K62" s="116">
        <f t="shared" si="8"/>
        <v>0</v>
      </c>
    </row>
    <row r="63" spans="1:11" ht="30" customHeight="1" x14ac:dyDescent="0.3">
      <c r="A63" s="259" t="s">
        <v>1354</v>
      </c>
      <c r="B63" s="133" t="s">
        <v>43</v>
      </c>
      <c r="C63" s="154" t="s">
        <v>1355</v>
      </c>
      <c r="D63" s="153"/>
      <c r="E63" s="168"/>
      <c r="F63" s="137"/>
      <c r="G63" s="137" t="s">
        <v>101</v>
      </c>
      <c r="I63" s="116">
        <f t="shared" si="6"/>
        <v>1</v>
      </c>
      <c r="J63" s="116">
        <f t="shared" si="7"/>
        <v>0</v>
      </c>
      <c r="K63" s="116">
        <f t="shared" si="8"/>
        <v>0</v>
      </c>
    </row>
    <row r="64" spans="1:11" ht="30" customHeight="1" x14ac:dyDescent="0.3">
      <c r="A64" s="259" t="s">
        <v>1356</v>
      </c>
      <c r="B64" s="133" t="s">
        <v>43</v>
      </c>
      <c r="C64" s="154" t="s">
        <v>1357</v>
      </c>
      <c r="D64" s="153"/>
      <c r="E64" s="168"/>
      <c r="F64" s="137"/>
      <c r="G64" s="137" t="s">
        <v>101</v>
      </c>
      <c r="I64" s="116">
        <f t="shared" si="6"/>
        <v>1</v>
      </c>
      <c r="J64" s="116">
        <f t="shared" si="7"/>
        <v>0</v>
      </c>
      <c r="K64" s="116">
        <f t="shared" si="8"/>
        <v>0</v>
      </c>
    </row>
    <row r="65" spans="1:11" ht="30" customHeight="1" x14ac:dyDescent="0.3">
      <c r="A65" s="259" t="s">
        <v>1358</v>
      </c>
      <c r="B65" s="133" t="s">
        <v>43</v>
      </c>
      <c r="C65" s="154" t="s">
        <v>1359</v>
      </c>
      <c r="D65" s="153"/>
      <c r="E65" s="168"/>
      <c r="F65" s="137"/>
      <c r="G65" s="137" t="s">
        <v>101</v>
      </c>
      <c r="I65" s="116">
        <f t="shared" si="6"/>
        <v>1</v>
      </c>
      <c r="J65" s="116">
        <f t="shared" si="7"/>
        <v>0</v>
      </c>
      <c r="K65" s="116">
        <f t="shared" si="8"/>
        <v>0</v>
      </c>
    </row>
    <row r="66" spans="1:11" ht="30" customHeight="1" x14ac:dyDescent="0.3">
      <c r="A66" s="259" t="s">
        <v>1360</v>
      </c>
      <c r="B66" s="183" t="s">
        <v>43</v>
      </c>
      <c r="C66" s="154" t="s">
        <v>1361</v>
      </c>
      <c r="D66" s="138"/>
      <c r="E66" s="168"/>
      <c r="F66" s="137"/>
      <c r="G66" s="137" t="s">
        <v>101</v>
      </c>
      <c r="I66" s="116">
        <f t="shared" si="6"/>
        <v>1</v>
      </c>
      <c r="J66" s="116">
        <f t="shared" si="7"/>
        <v>0</v>
      </c>
      <c r="K66" s="116">
        <f t="shared" si="8"/>
        <v>0</v>
      </c>
    </row>
    <row r="67" spans="1:11" ht="30" customHeight="1" x14ac:dyDescent="0.3">
      <c r="A67" s="259" t="s">
        <v>1362</v>
      </c>
      <c r="B67" s="260" t="s">
        <v>43</v>
      </c>
      <c r="C67" s="273" t="s">
        <v>1086</v>
      </c>
      <c r="D67" s="323"/>
      <c r="E67" s="175"/>
      <c r="F67" s="176"/>
      <c r="G67" s="176" t="s">
        <v>101</v>
      </c>
      <c r="I67" s="116">
        <f t="shared" si="6"/>
        <v>1</v>
      </c>
      <c r="J67" s="116">
        <f t="shared" si="7"/>
        <v>0</v>
      </c>
      <c r="K67" s="116">
        <f t="shared" si="8"/>
        <v>0</v>
      </c>
    </row>
    <row r="68" spans="1:11" x14ac:dyDescent="0.3">
      <c r="A68" s="316"/>
      <c r="B68" s="126"/>
      <c r="C68" s="286" t="s">
        <v>1363</v>
      </c>
      <c r="D68" s="194"/>
      <c r="E68" s="180"/>
      <c r="F68" s="181"/>
      <c r="G68" s="182"/>
      <c r="I68" s="116"/>
      <c r="J68" s="116"/>
      <c r="K68" s="116"/>
    </row>
    <row r="69" spans="1:11" ht="30" customHeight="1" x14ac:dyDescent="0.3">
      <c r="A69" s="259" t="s">
        <v>1364</v>
      </c>
      <c r="B69" s="183" t="s">
        <v>43</v>
      </c>
      <c r="C69" s="278" t="s">
        <v>1365</v>
      </c>
      <c r="D69" s="185"/>
      <c r="E69" s="328"/>
      <c r="F69" s="191"/>
      <c r="G69" s="187" t="s">
        <v>101</v>
      </c>
      <c r="I69" s="116">
        <f t="shared" ref="I69:I77" si="9">IF(NOT(ISBLANK($B69)),VLOOKUP($B69,specdata,2,FALSE()),"")</f>
        <v>1</v>
      </c>
      <c r="J69" s="116">
        <f t="shared" ref="J69:J78" si="10">VLOOKUP(G69,AvailabilityData,2,FALSE())</f>
        <v>0</v>
      </c>
      <c r="K69" s="116">
        <f t="shared" ref="K69:K78" si="11">I69*J69</f>
        <v>0</v>
      </c>
    </row>
    <row r="70" spans="1:11" ht="30" customHeight="1" x14ac:dyDescent="0.3">
      <c r="A70" s="259" t="s">
        <v>1366</v>
      </c>
      <c r="B70" s="133" t="s">
        <v>43</v>
      </c>
      <c r="C70" s="154" t="s">
        <v>1367</v>
      </c>
      <c r="D70" s="138"/>
      <c r="E70" s="326"/>
      <c r="F70" s="166"/>
      <c r="G70" s="137" t="s">
        <v>101</v>
      </c>
      <c r="I70" s="116">
        <f t="shared" si="9"/>
        <v>1</v>
      </c>
      <c r="J70" s="116">
        <f t="shared" si="10"/>
        <v>0</v>
      </c>
      <c r="K70" s="116">
        <f t="shared" si="11"/>
        <v>0</v>
      </c>
    </row>
    <row r="71" spans="1:11" ht="30" customHeight="1" x14ac:dyDescent="0.3">
      <c r="A71" s="259" t="s">
        <v>1368</v>
      </c>
      <c r="B71" s="183" t="s">
        <v>43</v>
      </c>
      <c r="C71" s="154" t="s">
        <v>1369</v>
      </c>
      <c r="D71" s="138"/>
      <c r="E71" s="168"/>
      <c r="F71" s="166"/>
      <c r="G71" s="137" t="s">
        <v>101</v>
      </c>
      <c r="I71" s="116">
        <f t="shared" si="9"/>
        <v>1</v>
      </c>
      <c r="J71" s="116">
        <f t="shared" si="10"/>
        <v>0</v>
      </c>
      <c r="K71" s="116">
        <f t="shared" si="11"/>
        <v>0</v>
      </c>
    </row>
    <row r="72" spans="1:11" ht="30" customHeight="1" x14ac:dyDescent="0.3">
      <c r="A72" s="259" t="s">
        <v>1370</v>
      </c>
      <c r="B72" s="183" t="s">
        <v>43</v>
      </c>
      <c r="C72" s="154" t="s">
        <v>1371</v>
      </c>
      <c r="D72" s="138"/>
      <c r="E72" s="168"/>
      <c r="F72" s="166"/>
      <c r="G72" s="137" t="s">
        <v>101</v>
      </c>
      <c r="I72" s="116">
        <f t="shared" si="9"/>
        <v>1</v>
      </c>
      <c r="J72" s="116">
        <f t="shared" si="10"/>
        <v>0</v>
      </c>
      <c r="K72" s="116">
        <f t="shared" si="11"/>
        <v>0</v>
      </c>
    </row>
    <row r="73" spans="1:11" ht="30" customHeight="1" x14ac:dyDescent="0.3">
      <c r="A73" s="259" t="s">
        <v>1372</v>
      </c>
      <c r="B73" s="183" t="s">
        <v>43</v>
      </c>
      <c r="C73" s="154" t="s">
        <v>1373</v>
      </c>
      <c r="D73" s="138"/>
      <c r="E73" s="168"/>
      <c r="F73" s="166"/>
      <c r="G73" s="137" t="s">
        <v>101</v>
      </c>
      <c r="I73" s="116">
        <f t="shared" si="9"/>
        <v>1</v>
      </c>
      <c r="J73" s="116">
        <f t="shared" si="10"/>
        <v>0</v>
      </c>
      <c r="K73" s="116">
        <f t="shared" si="11"/>
        <v>0</v>
      </c>
    </row>
    <row r="74" spans="1:11" ht="30" customHeight="1" x14ac:dyDescent="0.3">
      <c r="A74" s="259" t="s">
        <v>1374</v>
      </c>
      <c r="B74" s="133" t="s">
        <v>43</v>
      </c>
      <c r="C74" s="154" t="s">
        <v>1375</v>
      </c>
      <c r="D74" s="138"/>
      <c r="E74" s="168"/>
      <c r="F74" s="166"/>
      <c r="G74" s="137" t="s">
        <v>101</v>
      </c>
      <c r="I74" s="116">
        <f t="shared" si="9"/>
        <v>1</v>
      </c>
      <c r="J74" s="116">
        <f t="shared" si="10"/>
        <v>0</v>
      </c>
      <c r="K74" s="116">
        <f t="shared" si="11"/>
        <v>0</v>
      </c>
    </row>
    <row r="75" spans="1:11" ht="30" customHeight="1" x14ac:dyDescent="0.3">
      <c r="A75" s="259" t="s">
        <v>1376</v>
      </c>
      <c r="B75" s="133" t="s">
        <v>43</v>
      </c>
      <c r="C75" s="154" t="s">
        <v>1377</v>
      </c>
      <c r="D75" s="138"/>
      <c r="E75" s="168"/>
      <c r="F75" s="166"/>
      <c r="G75" s="137" t="s">
        <v>101</v>
      </c>
      <c r="I75" s="116">
        <f t="shared" si="9"/>
        <v>1</v>
      </c>
      <c r="J75" s="116">
        <f t="shared" si="10"/>
        <v>0</v>
      </c>
      <c r="K75" s="116">
        <f t="shared" si="11"/>
        <v>0</v>
      </c>
    </row>
    <row r="76" spans="1:11" ht="30" customHeight="1" x14ac:dyDescent="0.3">
      <c r="A76" s="259" t="s">
        <v>1378</v>
      </c>
      <c r="B76" s="133" t="s">
        <v>43</v>
      </c>
      <c r="C76" s="154" t="s">
        <v>1379</v>
      </c>
      <c r="D76" s="138"/>
      <c r="E76" s="168"/>
      <c r="F76" s="166"/>
      <c r="G76" s="137" t="s">
        <v>101</v>
      </c>
      <c r="I76" s="116">
        <f t="shared" si="9"/>
        <v>1</v>
      </c>
      <c r="J76" s="116">
        <f t="shared" si="10"/>
        <v>0</v>
      </c>
      <c r="K76" s="116">
        <f t="shared" si="11"/>
        <v>0</v>
      </c>
    </row>
    <row r="77" spans="1:11" ht="30" customHeight="1" x14ac:dyDescent="0.3">
      <c r="A77" s="259" t="s">
        <v>1380</v>
      </c>
      <c r="B77" s="183" t="s">
        <v>43</v>
      </c>
      <c r="C77" s="154" t="s">
        <v>1381</v>
      </c>
      <c r="D77" s="138"/>
      <c r="E77" s="168"/>
      <c r="F77" s="166"/>
      <c r="G77" s="137" t="s">
        <v>101</v>
      </c>
      <c r="I77" s="116">
        <f t="shared" si="9"/>
        <v>1</v>
      </c>
      <c r="J77" s="116">
        <f t="shared" si="10"/>
        <v>0</v>
      </c>
      <c r="K77" s="116">
        <f t="shared" si="11"/>
        <v>0</v>
      </c>
    </row>
    <row r="78" spans="1:11" ht="30" customHeight="1" x14ac:dyDescent="0.3">
      <c r="A78" s="259" t="s">
        <v>1382</v>
      </c>
      <c r="B78" s="169" t="s">
        <v>43</v>
      </c>
      <c r="C78" s="273" t="s">
        <v>1383</v>
      </c>
      <c r="D78" s="323"/>
      <c r="E78" s="175"/>
      <c r="F78" s="173"/>
      <c r="G78" s="176" t="s">
        <v>101</v>
      </c>
      <c r="I78" s="116">
        <f>IF(NOT(ISBLANK($B82)),VLOOKUP($B82,specdata,2,FALSE()),"")</f>
        <v>1</v>
      </c>
      <c r="J78" s="116">
        <f t="shared" si="10"/>
        <v>0</v>
      </c>
      <c r="K78" s="116">
        <f t="shared" si="11"/>
        <v>0</v>
      </c>
    </row>
    <row r="79" spans="1:11" x14ac:dyDescent="0.3">
      <c r="A79" s="316"/>
      <c r="B79" s="126"/>
      <c r="C79" s="243" t="s">
        <v>168</v>
      </c>
      <c r="D79" s="194"/>
      <c r="E79" s="180"/>
      <c r="F79" s="181"/>
      <c r="G79" s="182"/>
      <c r="I79" s="116"/>
      <c r="J79" s="116"/>
      <c r="K79" s="116"/>
    </row>
    <row r="80" spans="1:11" ht="30" customHeight="1" x14ac:dyDescent="0.3">
      <c r="A80" s="259" t="s">
        <v>1384</v>
      </c>
      <c r="B80" s="183" t="s">
        <v>43</v>
      </c>
      <c r="C80" s="278" t="s">
        <v>170</v>
      </c>
      <c r="D80" s="185"/>
      <c r="E80" s="186"/>
      <c r="F80" s="187"/>
      <c r="G80" s="187" t="s">
        <v>101</v>
      </c>
      <c r="I80" s="116">
        <f>IF(NOT(ISBLANK($B80)),VLOOKUP($B80,specdata,2,FALSE()),"")</f>
        <v>1</v>
      </c>
      <c r="J80" s="116">
        <f>VLOOKUP(G80,AvailabilityData,2,FALSE())</f>
        <v>0</v>
      </c>
      <c r="K80" s="116">
        <f>I80*J80</f>
        <v>0</v>
      </c>
    </row>
    <row r="81" spans="1:11" ht="30" customHeight="1" x14ac:dyDescent="0.3">
      <c r="A81" s="259" t="s">
        <v>1385</v>
      </c>
      <c r="B81" s="183" t="s">
        <v>43</v>
      </c>
      <c r="C81" s="154" t="s">
        <v>171</v>
      </c>
      <c r="D81" s="138"/>
      <c r="E81" s="168"/>
      <c r="F81" s="173"/>
      <c r="G81" s="176" t="s">
        <v>101</v>
      </c>
      <c r="I81" s="116">
        <f>IF(NOT(ISBLANK($B81)),VLOOKUP($B81,specdata,2,FALSE()),"")</f>
        <v>1</v>
      </c>
      <c r="J81" s="116">
        <f>VLOOKUP(G81,AvailabilityData,2,FALSE())</f>
        <v>0</v>
      </c>
      <c r="K81" s="116">
        <f>I81*J81</f>
        <v>0</v>
      </c>
    </row>
    <row r="82" spans="1:11" ht="30" customHeight="1" x14ac:dyDescent="0.3">
      <c r="A82" s="259" t="s">
        <v>1386</v>
      </c>
      <c r="B82" s="183" t="s">
        <v>43</v>
      </c>
      <c r="C82" s="154" t="s">
        <v>172</v>
      </c>
      <c r="D82" s="138"/>
      <c r="E82" s="168"/>
      <c r="F82" s="173"/>
      <c r="G82" s="176" t="s">
        <v>101</v>
      </c>
      <c r="I82" s="116">
        <f>IF(NOT(ISBLANK($B82)),VLOOKUP($B82,specdata,2,FALSE()),"")</f>
        <v>1</v>
      </c>
      <c r="J82" s="116">
        <f>VLOOKUP(G82,AvailabilityData,2,FALSE())</f>
        <v>0</v>
      </c>
      <c r="K82" s="116">
        <f>I82*J82</f>
        <v>0</v>
      </c>
    </row>
    <row r="83" spans="1:11" ht="30" customHeight="1" x14ac:dyDescent="0.3">
      <c r="A83" s="259" t="s">
        <v>1387</v>
      </c>
      <c r="B83" s="260" t="s">
        <v>43</v>
      </c>
      <c r="C83" s="273" t="s">
        <v>173</v>
      </c>
      <c r="D83" s="323"/>
      <c r="E83" s="175"/>
      <c r="F83" s="173"/>
      <c r="G83" s="176" t="s">
        <v>101</v>
      </c>
      <c r="I83" s="116">
        <f>IF(NOT(ISBLANK($B85)),VLOOKUP($B85,specdata,2,FALSE()),"")</f>
        <v>1</v>
      </c>
      <c r="J83" s="116">
        <f>VLOOKUP(G83,AvailabilityData,2,FALSE())</f>
        <v>0</v>
      </c>
      <c r="K83" s="116">
        <f>I83*J83</f>
        <v>0</v>
      </c>
    </row>
    <row r="84" spans="1:11" x14ac:dyDescent="0.3">
      <c r="A84" s="316"/>
      <c r="B84" s="126"/>
      <c r="C84" s="243" t="s">
        <v>165</v>
      </c>
      <c r="D84" s="194"/>
      <c r="E84" s="180"/>
      <c r="F84" s="181"/>
      <c r="G84" s="182"/>
      <c r="I84" s="116"/>
      <c r="J84" s="116"/>
      <c r="K84" s="116"/>
    </row>
    <row r="85" spans="1:11" ht="30" customHeight="1" x14ac:dyDescent="0.3">
      <c r="A85" s="259" t="s">
        <v>1388</v>
      </c>
      <c r="B85" s="183" t="s">
        <v>43</v>
      </c>
      <c r="C85" s="269" t="s">
        <v>208</v>
      </c>
      <c r="D85" s="185"/>
      <c r="E85" s="186"/>
      <c r="F85" s="191"/>
      <c r="G85" s="187" t="s">
        <v>101</v>
      </c>
      <c r="I85" s="116">
        <f>IF(NOT(ISBLANK($B85)),VLOOKUP($B85,specdata,2,FALSE()),"")</f>
        <v>1</v>
      </c>
      <c r="J85" s="116">
        <f>VLOOKUP(G85,AvailabilityData,2,FALSE())</f>
        <v>0</v>
      </c>
      <c r="K85" s="116">
        <f>I85*J85</f>
        <v>0</v>
      </c>
    </row>
    <row r="86" spans="1:11" ht="30" customHeight="1" x14ac:dyDescent="0.3">
      <c r="A86" s="259" t="s">
        <v>1389</v>
      </c>
      <c r="B86" s="183" t="s">
        <v>43</v>
      </c>
      <c r="C86" s="134" t="s">
        <v>209</v>
      </c>
      <c r="D86" s="138"/>
      <c r="E86" s="168"/>
      <c r="F86" s="166"/>
      <c r="G86" s="137" t="s">
        <v>101</v>
      </c>
      <c r="I86" s="116">
        <f>IF(NOT(ISBLANK($B86)),VLOOKUP($B86,specdata,2,FALSE()),"")</f>
        <v>1</v>
      </c>
      <c r="J86" s="116">
        <f>VLOOKUP(G86,AvailabilityData,2,FALSE())</f>
        <v>0</v>
      </c>
      <c r="K86" s="116">
        <f>I86*J86</f>
        <v>0</v>
      </c>
    </row>
    <row r="87" spans="1:11" ht="30" customHeight="1" x14ac:dyDescent="0.3">
      <c r="A87" s="259" t="s">
        <v>1390</v>
      </c>
      <c r="B87" s="183" t="s">
        <v>43</v>
      </c>
      <c r="C87" s="134" t="s">
        <v>210</v>
      </c>
      <c r="D87" s="138"/>
      <c r="E87" s="168"/>
      <c r="F87" s="166"/>
      <c r="G87" s="137" t="s">
        <v>101</v>
      </c>
      <c r="I87" s="116">
        <f>IF(NOT(ISBLANK($B87)),VLOOKUP($B87,specdata,2,FALSE()),"")</f>
        <v>1</v>
      </c>
      <c r="J87" s="116">
        <f>VLOOKUP(G87,AvailabilityData,2,FALSE())</f>
        <v>0</v>
      </c>
      <c r="K87" s="116">
        <f>I87*J87</f>
        <v>0</v>
      </c>
    </row>
    <row r="88" spans="1:11" ht="30" customHeight="1" x14ac:dyDescent="0.3">
      <c r="A88" s="259" t="s">
        <v>1391</v>
      </c>
      <c r="B88" s="260" t="s">
        <v>43</v>
      </c>
      <c r="C88" s="271" t="s">
        <v>211</v>
      </c>
      <c r="D88" s="323"/>
      <c r="E88" s="175"/>
      <c r="F88" s="173"/>
      <c r="G88" s="176" t="s">
        <v>101</v>
      </c>
      <c r="I88" s="116">
        <f>IF(NOT(ISBLANK($B88)),VLOOKUP($B88,specdata,2,FALSE()),"")</f>
        <v>1</v>
      </c>
      <c r="J88" s="116">
        <f>VLOOKUP(G88,AvailabilityData,2,FALSE())</f>
        <v>0</v>
      </c>
      <c r="K88" s="116">
        <f>I88*J88</f>
        <v>0</v>
      </c>
    </row>
    <row r="89" spans="1:11" x14ac:dyDescent="0.3">
      <c r="A89" s="316"/>
      <c r="B89" s="126"/>
      <c r="C89" s="243" t="s">
        <v>174</v>
      </c>
      <c r="D89" s="194"/>
      <c r="E89" s="180"/>
      <c r="F89" s="181"/>
      <c r="G89" s="182"/>
      <c r="I89" s="116"/>
      <c r="J89" s="116"/>
      <c r="K89" s="116"/>
    </row>
    <row r="90" spans="1:11" ht="30" customHeight="1" x14ac:dyDescent="0.3">
      <c r="A90" s="259" t="s">
        <v>1392</v>
      </c>
      <c r="B90" s="183" t="s">
        <v>43</v>
      </c>
      <c r="C90" s="269" t="s">
        <v>1393</v>
      </c>
      <c r="D90" s="185"/>
      <c r="E90" s="186"/>
      <c r="F90" s="191"/>
      <c r="G90" s="187" t="s">
        <v>101</v>
      </c>
      <c r="I90" s="116">
        <f>IF(NOT(ISBLANK($B90)),VLOOKUP($B90,specdata,2,FALSE()),"")</f>
        <v>1</v>
      </c>
      <c r="J90" s="116">
        <f>VLOOKUP(G90,AvailabilityData,2,FALSE())</f>
        <v>0</v>
      </c>
      <c r="K90" s="116">
        <f>I90*J90</f>
        <v>0</v>
      </c>
    </row>
    <row r="91" spans="1:11" ht="46.8" x14ac:dyDescent="0.3">
      <c r="A91" s="259" t="s">
        <v>1394</v>
      </c>
      <c r="B91" s="183" t="s">
        <v>43</v>
      </c>
      <c r="C91" s="134" t="s">
        <v>193</v>
      </c>
      <c r="D91" s="138"/>
      <c r="E91" s="168"/>
      <c r="F91" s="166"/>
      <c r="G91" s="137" t="s">
        <v>101</v>
      </c>
      <c r="I91" s="116">
        <f>IF(NOT(ISBLANK($B91)),VLOOKUP($B91,specdata,2,FALSE()),"")</f>
        <v>1</v>
      </c>
      <c r="J91" s="116">
        <f>VLOOKUP(G91,AvailabilityData,2,FALSE())</f>
        <v>0</v>
      </c>
      <c r="K91" s="116">
        <f>I91*J91</f>
        <v>0</v>
      </c>
    </row>
    <row r="92" spans="1:11" ht="30" customHeight="1" x14ac:dyDescent="0.3">
      <c r="A92" s="259" t="s">
        <v>1395</v>
      </c>
      <c r="B92" s="183" t="s">
        <v>43</v>
      </c>
      <c r="C92" s="134" t="s">
        <v>1396</v>
      </c>
      <c r="D92" s="138"/>
      <c r="E92" s="168"/>
      <c r="F92" s="166"/>
      <c r="G92" s="137" t="s">
        <v>101</v>
      </c>
      <c r="I92" s="116">
        <f>IF(NOT(ISBLANK($B92)),VLOOKUP($B92,specdata,2,FALSE()),"")</f>
        <v>1</v>
      </c>
      <c r="J92" s="116">
        <f>VLOOKUP(G92,AvailabilityData,2,FALSE())</f>
        <v>0</v>
      </c>
      <c r="K92" s="116">
        <f>I92*J92</f>
        <v>0</v>
      </c>
    </row>
    <row r="93" spans="1:11" ht="30" customHeight="1" x14ac:dyDescent="0.3"/>
    <row r="94" spans="1:11" ht="30" customHeight="1" x14ac:dyDescent="0.3"/>
    <row r="95" spans="1:11" ht="30" customHeight="1" x14ac:dyDescent="0.3"/>
    <row r="96" spans="1:11"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45"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59.25" customHeight="1" x14ac:dyDescent="0.3"/>
  </sheetData>
  <conditionalFormatting sqref="B1:B69 B84:B1048576">
    <cfRule type="cellIs" dxfId="76" priority="13" operator="equal">
      <formula>"Highly Advantageous"</formula>
    </cfRule>
  </conditionalFormatting>
  <conditionalFormatting sqref="B1:B1048576">
    <cfRule type="cellIs" dxfId="75" priority="2" operator="equal">
      <formula>"Informational"</formula>
    </cfRule>
    <cfRule type="cellIs" dxfId="74" priority="3" operator="equal">
      <formula>"Critical"</formula>
    </cfRule>
    <cfRule type="cellIs" dxfId="73" priority="5" operator="equal">
      <formula>"Not Needed"</formula>
    </cfRule>
    <cfRule type="cellIs" dxfId="72" priority="6" operator="equal">
      <formula>"Extremely Advantageous"</formula>
    </cfRule>
  </conditionalFormatting>
  <conditionalFormatting sqref="B2:B69">
    <cfRule type="cellIs" dxfId="71" priority="9" operator="equal">
      <formula>"Mandatory"</formula>
    </cfRule>
  </conditionalFormatting>
  <conditionalFormatting sqref="B71:B92">
    <cfRule type="cellIs" dxfId="70" priority="7" operator="equal">
      <formula>"Mandatory"</formula>
    </cfRule>
  </conditionalFormatting>
  <conditionalFormatting sqref="C6:D7">
    <cfRule type="cellIs" dxfId="69" priority="8" operator="equal">
      <formula>"Mandatory"</formula>
    </cfRule>
  </conditionalFormatting>
  <conditionalFormatting sqref="G1:G1048576">
    <cfRule type="cellIs" dxfId="68" priority="4" operator="equal">
      <formula>"Exception"</formula>
    </cfRule>
  </conditionalFormatting>
  <conditionalFormatting sqref="G3:G92">
    <cfRule type="cellIs" dxfId="67" priority="10"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92" xr:uid="{00000000-0002-0000-2D00-000000000000}">
      <formula1>SpecType</formula1>
      <formula2>0</formula2>
    </dataValidation>
    <dataValidation type="list" allowBlank="1" showInputMessage="1" showErrorMessage="1" sqref="G3:G92" xr:uid="{00000000-0002-0000-2D00-000001000000}">
      <formula1>Availability</formula1>
      <formula2>0</formula2>
    </dataValidation>
  </dataValidations>
  <pageMargins left="0.25" right="0.25" top="0.75" bottom="0.75" header="0.3" footer="0.3"/>
  <pageSetup scale="65" orientation="landscape" horizontalDpi="300" verticalDpi="300"/>
  <headerFooter>
    <oddHeader>&amp;C&amp;"Arial,Bold"City of Winchester, VA
Interface Functional Requirements&amp;R&amp;"Arial,Bold"&amp;A</oddHeader>
    <oddFooter>&amp;L&amp;"Arial,Bold"&amp;10Federal Engineering, March 2024 ©&amp;R&amp;"Arial,Bold"&amp;10&amp;P of &amp;N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F0"/>
    <pageSetUpPr fitToPage="1"/>
  </sheetPr>
  <dimension ref="A1:K71"/>
  <sheetViews>
    <sheetView zoomScale="90" zoomScaleNormal="90" zoomScalePageLayoutView="90" workbookViewId="0"/>
  </sheetViews>
  <sheetFormatPr defaultColWidth="9" defaultRowHeight="13.8" x14ac:dyDescent="0.25"/>
  <cols>
    <col min="1" max="1" width="12.59765625" style="195" customWidth="1"/>
    <col min="2" max="2" width="14.59765625" style="195" customWidth="1"/>
    <col min="3" max="3" width="65.59765625" style="333" customWidth="1"/>
    <col min="4" max="4" width="65.59765625" style="197" customWidth="1"/>
    <col min="5" max="5" width="10.59765625" style="197" customWidth="1"/>
    <col min="6" max="6" width="6.59765625" style="197" customWidth="1"/>
    <col min="7" max="7" width="30.59765625" style="197" customWidth="1"/>
    <col min="8" max="11" width="8.59765625" style="197" customWidth="1"/>
    <col min="12" max="16384" width="9" style="197"/>
  </cols>
  <sheetData>
    <row r="1" spans="1:11" s="124" customFormat="1" ht="105" customHeight="1" x14ac:dyDescent="0.25">
      <c r="A1" s="119" t="s">
        <v>102</v>
      </c>
      <c r="B1" s="119" t="s">
        <v>103</v>
      </c>
      <c r="C1" s="558"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row>
    <row r="2" spans="1:11" ht="15.6" x14ac:dyDescent="0.3">
      <c r="A2" s="313" t="s">
        <v>1397</v>
      </c>
      <c r="B2" s="401"/>
      <c r="C2" s="361"/>
      <c r="D2" s="362"/>
      <c r="E2" s="363"/>
      <c r="F2" s="363"/>
      <c r="G2" s="363"/>
      <c r="H2" s="207">
        <f>COUNTA(B3:B30)</f>
        <v>24</v>
      </c>
      <c r="K2" s="115" t="e">
        <f>SUM(K3:K30)</f>
        <v>#N/A</v>
      </c>
    </row>
    <row r="3" spans="1:11" ht="30" customHeight="1" x14ac:dyDescent="0.3">
      <c r="A3" s="202" t="s">
        <v>1398</v>
      </c>
      <c r="B3" s="297" t="s">
        <v>262</v>
      </c>
      <c r="C3" s="336" t="s">
        <v>1399</v>
      </c>
      <c r="D3" s="204"/>
      <c r="E3" s="440"/>
      <c r="F3" s="137"/>
      <c r="G3" s="299" t="s">
        <v>101</v>
      </c>
      <c r="H3" s="115">
        <f>COUNTIF(G:G,"=Select from Drop Down List")</f>
        <v>24</v>
      </c>
      <c r="I3" s="116" t="e">
        <f>IF(NOT(ISBLANK($B3)),VLOOKUP($B3,specdata,2,FALSE()),"")</f>
        <v>#N/A</v>
      </c>
      <c r="J3" s="207">
        <f>VLOOKUP(G3,AvailabilityData,2,FALSE())</f>
        <v>0</v>
      </c>
      <c r="K3" s="116" t="e">
        <f>I3*J3</f>
        <v>#N/A</v>
      </c>
    </row>
    <row r="4" spans="1:11" ht="30" customHeight="1" x14ac:dyDescent="0.3">
      <c r="A4" s="289" t="s">
        <v>1400</v>
      </c>
      <c r="B4" s="290" t="s">
        <v>262</v>
      </c>
      <c r="C4" s="337" t="s">
        <v>1401</v>
      </c>
      <c r="D4" s="564"/>
      <c r="E4" s="565"/>
      <c r="F4" s="176"/>
      <c r="G4" s="293" t="s">
        <v>101</v>
      </c>
      <c r="H4" s="115">
        <f>COUNTIF(G:G,"=Function Available")</f>
        <v>0</v>
      </c>
      <c r="I4" s="116" t="e">
        <f>IF(NOT(ISBLANK($B4)),VLOOKUP($B4,specdata,2,FALSE()),"")</f>
        <v>#N/A</v>
      </c>
      <c r="J4" s="207">
        <f>VLOOKUP(G4,AvailabilityData,2,FALSE())</f>
        <v>0</v>
      </c>
      <c r="K4" s="116" t="e">
        <f>I4*J4</f>
        <v>#N/A</v>
      </c>
    </row>
    <row r="5" spans="1:11" ht="15.6" x14ac:dyDescent="0.3">
      <c r="A5" s="210"/>
      <c r="B5" s="211"/>
      <c r="C5" s="364" t="s">
        <v>1402</v>
      </c>
      <c r="D5" s="200"/>
      <c r="E5" s="201"/>
      <c r="F5" s="181"/>
      <c r="G5" s="215"/>
      <c r="H5" s="115">
        <f>COUNTIF(F:G,"=Function Not Available")</f>
        <v>0</v>
      </c>
      <c r="I5" s="116"/>
      <c r="J5" s="207"/>
      <c r="K5" s="116"/>
    </row>
    <row r="6" spans="1:11" ht="30" customHeight="1" x14ac:dyDescent="0.3">
      <c r="A6" s="202" t="s">
        <v>1403</v>
      </c>
      <c r="B6" s="297" t="s">
        <v>262</v>
      </c>
      <c r="C6" s="221" t="s">
        <v>1404</v>
      </c>
      <c r="D6" s="204"/>
      <c r="E6" s="440"/>
      <c r="F6" s="137"/>
      <c r="G6" s="296" t="s">
        <v>101</v>
      </c>
      <c r="H6" s="115">
        <f>COUNTIF(G:G,"=Exception")</f>
        <v>0</v>
      </c>
      <c r="I6" s="116" t="e">
        <f t="shared" ref="I6:I16" si="0">IF(NOT(ISBLANK($B6)),VLOOKUP($B6,specdata,2,FALSE()),"")</f>
        <v>#N/A</v>
      </c>
      <c r="J6" s="207">
        <f t="shared" ref="J6:J16" si="1">VLOOKUP(G6,AvailabilityData,2,FALSE())</f>
        <v>0</v>
      </c>
      <c r="K6" s="116" t="e">
        <f t="shared" ref="K6:K16" si="2">I6*J6</f>
        <v>#N/A</v>
      </c>
    </row>
    <row r="7" spans="1:11" ht="30" customHeight="1" x14ac:dyDescent="0.3">
      <c r="A7" s="202" t="s">
        <v>1405</v>
      </c>
      <c r="B7" s="566" t="s">
        <v>262</v>
      </c>
      <c r="C7" s="221" t="s">
        <v>1406</v>
      </c>
      <c r="D7" s="204"/>
      <c r="E7" s="440"/>
      <c r="F7" s="137"/>
      <c r="G7" s="299" t="s">
        <v>101</v>
      </c>
      <c r="H7" s="300">
        <f>COUNTIFS(B:B,"=Extremely Advantageous",G:G,"=Select from Drop Down List")</f>
        <v>2</v>
      </c>
      <c r="I7" s="116" t="e">
        <f t="shared" si="0"/>
        <v>#N/A</v>
      </c>
      <c r="J7" s="207">
        <f t="shared" si="1"/>
        <v>0</v>
      </c>
      <c r="K7" s="116" t="e">
        <f t="shared" si="2"/>
        <v>#N/A</v>
      </c>
    </row>
    <row r="8" spans="1:11" ht="30" customHeight="1" x14ac:dyDescent="0.3">
      <c r="A8" s="202" t="s">
        <v>1407</v>
      </c>
      <c r="B8" s="297" t="s">
        <v>262</v>
      </c>
      <c r="C8" s="221" t="s">
        <v>1408</v>
      </c>
      <c r="D8" s="209"/>
      <c r="E8" s="205"/>
      <c r="F8" s="137"/>
      <c r="G8" s="299" t="s">
        <v>101</v>
      </c>
      <c r="H8" s="300">
        <f>COUNTIFS(B:B,"=Extremely Advantageous",G:G,"=Function Available")</f>
        <v>0</v>
      </c>
      <c r="I8" s="116" t="e">
        <f t="shared" si="0"/>
        <v>#N/A</v>
      </c>
      <c r="J8" s="207">
        <f t="shared" si="1"/>
        <v>0</v>
      </c>
      <c r="K8" s="116" t="e">
        <f t="shared" si="2"/>
        <v>#N/A</v>
      </c>
    </row>
    <row r="9" spans="1:11" ht="30" customHeight="1" x14ac:dyDescent="0.3">
      <c r="A9" s="202" t="s">
        <v>1409</v>
      </c>
      <c r="B9" s="297" t="s">
        <v>262</v>
      </c>
      <c r="C9" s="221" t="s">
        <v>1410</v>
      </c>
      <c r="D9" s="209"/>
      <c r="E9" s="205"/>
      <c r="F9" s="137"/>
      <c r="G9" s="299" t="s">
        <v>101</v>
      </c>
      <c r="H9" s="300">
        <f>COUNTIFS(B:B,"=Extremely Advantageous",G:G,"=Function Not Available")</f>
        <v>0</v>
      </c>
      <c r="I9" s="116" t="e">
        <f t="shared" si="0"/>
        <v>#N/A</v>
      </c>
      <c r="J9" s="207">
        <f t="shared" si="1"/>
        <v>0</v>
      </c>
      <c r="K9" s="116" t="e">
        <f t="shared" si="2"/>
        <v>#N/A</v>
      </c>
    </row>
    <row r="10" spans="1:11" ht="27.6" x14ac:dyDescent="0.3">
      <c r="A10" s="202" t="s">
        <v>1411</v>
      </c>
      <c r="B10" s="297" t="s">
        <v>262</v>
      </c>
      <c r="C10" s="336" t="s">
        <v>1412</v>
      </c>
      <c r="D10" s="209"/>
      <c r="E10" s="205"/>
      <c r="F10" s="137"/>
      <c r="G10" s="303" t="s">
        <v>101</v>
      </c>
      <c r="H10" s="300">
        <f>COUNTIFS(B:B,"=Extremely Advantageous",G:G,"=Exception")</f>
        <v>0</v>
      </c>
      <c r="I10" s="116" t="e">
        <f t="shared" si="0"/>
        <v>#N/A</v>
      </c>
      <c r="J10" s="207">
        <f t="shared" si="1"/>
        <v>0</v>
      </c>
      <c r="K10" s="116" t="e">
        <f t="shared" si="2"/>
        <v>#N/A</v>
      </c>
    </row>
    <row r="11" spans="1:11" ht="30" customHeight="1" x14ac:dyDescent="0.3">
      <c r="A11" s="202" t="s">
        <v>1413</v>
      </c>
      <c r="B11" s="297" t="s">
        <v>262</v>
      </c>
      <c r="C11" s="336" t="s">
        <v>1414</v>
      </c>
      <c r="D11" s="209"/>
      <c r="E11" s="205"/>
      <c r="F11" s="137"/>
      <c r="G11" s="303" t="s">
        <v>101</v>
      </c>
      <c r="H11" s="304">
        <f>COUNTIFS(B:B,"=Advantageous",G:G,"=Select from Drop Down List")</f>
        <v>22</v>
      </c>
      <c r="I11" s="116" t="e">
        <f t="shared" si="0"/>
        <v>#N/A</v>
      </c>
      <c r="J11" s="207">
        <f t="shared" si="1"/>
        <v>0</v>
      </c>
      <c r="K11" s="116" t="e">
        <f t="shared" si="2"/>
        <v>#N/A</v>
      </c>
    </row>
    <row r="12" spans="1:11" ht="27.6" x14ac:dyDescent="0.3">
      <c r="A12" s="202" t="s">
        <v>1415</v>
      </c>
      <c r="B12" s="297" t="s">
        <v>262</v>
      </c>
      <c r="C12" s="336" t="s">
        <v>1416</v>
      </c>
      <c r="D12" s="209"/>
      <c r="E12" s="205"/>
      <c r="F12" s="137"/>
      <c r="G12" s="303" t="s">
        <v>101</v>
      </c>
      <c r="H12" s="304">
        <f>COUNTIFS(B:B,"=Advantageous",G:G,"=Function Available")</f>
        <v>0</v>
      </c>
      <c r="I12" s="116" t="e">
        <f t="shared" si="0"/>
        <v>#N/A</v>
      </c>
      <c r="J12" s="207">
        <f t="shared" si="1"/>
        <v>0</v>
      </c>
      <c r="K12" s="116" t="e">
        <f t="shared" si="2"/>
        <v>#N/A</v>
      </c>
    </row>
    <row r="13" spans="1:11" ht="41.4" x14ac:dyDescent="0.3">
      <c r="A13" s="202" t="s">
        <v>1417</v>
      </c>
      <c r="B13" s="566" t="s">
        <v>262</v>
      </c>
      <c r="C13" s="336" t="s">
        <v>1418</v>
      </c>
      <c r="D13" s="298"/>
      <c r="E13" s="205"/>
      <c r="F13" s="137"/>
      <c r="G13" s="303" t="s">
        <v>101</v>
      </c>
      <c r="H13" s="304">
        <f>COUNTIFS(B:B,"=Advantageous",G:G,"=Function Not Available")</f>
        <v>0</v>
      </c>
      <c r="I13" s="116" t="e">
        <f t="shared" si="0"/>
        <v>#N/A</v>
      </c>
      <c r="J13" s="207">
        <f t="shared" si="1"/>
        <v>0</v>
      </c>
      <c r="K13" s="116" t="e">
        <f t="shared" si="2"/>
        <v>#N/A</v>
      </c>
    </row>
    <row r="14" spans="1:11" ht="30" customHeight="1" x14ac:dyDescent="0.3">
      <c r="A14" s="202" t="s">
        <v>1419</v>
      </c>
      <c r="B14" s="297" t="s">
        <v>262</v>
      </c>
      <c r="C14" s="336" t="s">
        <v>1420</v>
      </c>
      <c r="D14" s="209"/>
      <c r="E14" s="205"/>
      <c r="F14" s="137"/>
      <c r="G14" s="303" t="s">
        <v>101</v>
      </c>
      <c r="H14" s="304">
        <f>COUNTIFS(B:B,"=Advantageous",G:G,"=Exception")</f>
        <v>0</v>
      </c>
      <c r="I14" s="116" t="e">
        <f t="shared" si="0"/>
        <v>#N/A</v>
      </c>
      <c r="J14" s="207">
        <f t="shared" si="1"/>
        <v>0</v>
      </c>
      <c r="K14" s="116" t="e">
        <f t="shared" si="2"/>
        <v>#N/A</v>
      </c>
    </row>
    <row r="15" spans="1:11" ht="30" customHeight="1" x14ac:dyDescent="0.3">
      <c r="A15" s="202" t="s">
        <v>1421</v>
      </c>
      <c r="B15" s="297" t="s">
        <v>262</v>
      </c>
      <c r="C15" s="336" t="s">
        <v>1422</v>
      </c>
      <c r="D15" s="209"/>
      <c r="E15" s="205"/>
      <c r="F15" s="137"/>
      <c r="G15" s="303" t="s">
        <v>101</v>
      </c>
      <c r="H15" s="257">
        <f>COUNTIFS(B:B,"=Minimal",G:G,"=Select from Drop Down List")</f>
        <v>0</v>
      </c>
      <c r="I15" s="116" t="e">
        <f t="shared" si="0"/>
        <v>#N/A</v>
      </c>
      <c r="J15" s="207">
        <f t="shared" si="1"/>
        <v>0</v>
      </c>
      <c r="K15" s="116" t="e">
        <f t="shared" si="2"/>
        <v>#N/A</v>
      </c>
    </row>
    <row r="16" spans="1:11" ht="41.4" x14ac:dyDescent="0.3">
      <c r="A16" s="202" t="s">
        <v>1423</v>
      </c>
      <c r="B16" s="567" t="s">
        <v>262</v>
      </c>
      <c r="C16" s="498" t="s">
        <v>1424</v>
      </c>
      <c r="D16" s="228"/>
      <c r="E16" s="229"/>
      <c r="F16" s="272"/>
      <c r="G16" s="293" t="s">
        <v>101</v>
      </c>
      <c r="H16" s="257">
        <f>COUNTIFS(B:B,"=Minimal",G:G,"=Function Available")</f>
        <v>0</v>
      </c>
      <c r="I16" s="116" t="e">
        <f t="shared" si="0"/>
        <v>#N/A</v>
      </c>
      <c r="J16" s="207">
        <f t="shared" si="1"/>
        <v>0</v>
      </c>
      <c r="K16" s="116" t="e">
        <f t="shared" si="2"/>
        <v>#N/A</v>
      </c>
    </row>
    <row r="17" spans="1:11" ht="15.6" x14ac:dyDescent="0.3">
      <c r="A17" s="210"/>
      <c r="B17" s="211"/>
      <c r="C17" s="364" t="s">
        <v>165</v>
      </c>
      <c r="D17" s="213"/>
      <c r="E17" s="214"/>
      <c r="F17" s="181"/>
      <c r="G17" s="215"/>
      <c r="H17" s="257">
        <f>COUNTIFS(B:B,"=Minimal",G:G,"=Function Not Available")</f>
        <v>0</v>
      </c>
      <c r="I17" s="116"/>
      <c r="J17" s="207"/>
      <c r="K17" s="116"/>
    </row>
    <row r="18" spans="1:11" ht="30" customHeight="1" x14ac:dyDescent="0.3">
      <c r="A18" s="216" t="s">
        <v>1425</v>
      </c>
      <c r="B18" s="568" t="s">
        <v>262</v>
      </c>
      <c r="C18" s="365" t="s">
        <v>208</v>
      </c>
      <c r="D18" s="218"/>
      <c r="E18" s="219"/>
      <c r="F18" s="191"/>
      <c r="G18" s="296" t="s">
        <v>101</v>
      </c>
      <c r="H18" s="257">
        <f>COUNTIFS(B:B,"=Minimal",G:G,"=Exception")</f>
        <v>0</v>
      </c>
      <c r="I18" s="116" t="e">
        <f>IF(NOT(ISBLANK($B18)),VLOOKUP($B18,specdata,2,FALSE()),"")</f>
        <v>#N/A</v>
      </c>
      <c r="J18" s="207">
        <f>VLOOKUP(G18,AvailabilityData,2,FALSE())</f>
        <v>0</v>
      </c>
      <c r="K18" s="116" t="e">
        <f>I18*J18</f>
        <v>#N/A</v>
      </c>
    </row>
    <row r="19" spans="1:11" ht="30" customHeight="1" x14ac:dyDescent="0.3">
      <c r="A19" s="216" t="s">
        <v>1426</v>
      </c>
      <c r="B19" s="568" t="s">
        <v>262</v>
      </c>
      <c r="C19" s="336" t="s">
        <v>1427</v>
      </c>
      <c r="D19" s="569"/>
      <c r="E19" s="219"/>
      <c r="F19" s="166"/>
      <c r="G19" s="299" t="s">
        <v>101</v>
      </c>
      <c r="I19" s="116" t="e">
        <f>IF(NOT(ISBLANK($B19)),VLOOKUP($B19,specdata,2,FALSE()),"")</f>
        <v>#N/A</v>
      </c>
      <c r="J19" s="207">
        <f>VLOOKUP(G19,AvailabilityData,2,FALSE())</f>
        <v>0</v>
      </c>
      <c r="K19" s="116" t="e">
        <f>I19*J19</f>
        <v>#N/A</v>
      </c>
    </row>
    <row r="20" spans="1:11" ht="30" customHeight="1" x14ac:dyDescent="0.3">
      <c r="A20" s="216" t="s">
        <v>1428</v>
      </c>
      <c r="B20" s="568" t="s">
        <v>262</v>
      </c>
      <c r="C20" s="336" t="s">
        <v>210</v>
      </c>
      <c r="D20" s="569"/>
      <c r="E20" s="219"/>
      <c r="F20" s="166"/>
      <c r="G20" s="299" t="s">
        <v>101</v>
      </c>
      <c r="I20" s="116" t="e">
        <f>IF(NOT(ISBLANK($B20)),VLOOKUP($B20,specdata,2,FALSE()),"")</f>
        <v>#N/A</v>
      </c>
      <c r="J20" s="207">
        <f>VLOOKUP(G20,AvailabilityData,2,FALSE())</f>
        <v>0</v>
      </c>
      <c r="K20" s="116" t="e">
        <f>I20*J20</f>
        <v>#N/A</v>
      </c>
    </row>
    <row r="21" spans="1:11" ht="30" customHeight="1" x14ac:dyDescent="0.3">
      <c r="A21" s="216" t="s">
        <v>1429</v>
      </c>
      <c r="B21" s="567" t="s">
        <v>262</v>
      </c>
      <c r="C21" s="337" t="s">
        <v>211</v>
      </c>
      <c r="D21" s="228"/>
      <c r="E21" s="229"/>
      <c r="F21" s="173"/>
      <c r="G21" s="293" t="s">
        <v>101</v>
      </c>
      <c r="I21" s="116" t="e">
        <f>IF(NOT(ISBLANK($B21)),VLOOKUP($B21,specdata,2,FALSE()),"")</f>
        <v>#N/A</v>
      </c>
      <c r="J21" s="207">
        <f>VLOOKUP(G21,AvailabilityData,2,FALSE())</f>
        <v>0</v>
      </c>
      <c r="K21" s="116" t="e">
        <f>I21*J21</f>
        <v>#N/A</v>
      </c>
    </row>
    <row r="22" spans="1:11" ht="15.6" x14ac:dyDescent="0.3">
      <c r="A22" s="210"/>
      <c r="B22" s="211"/>
      <c r="C22" s="364" t="s">
        <v>168</v>
      </c>
      <c r="D22" s="213"/>
      <c r="E22" s="214"/>
      <c r="F22" s="181"/>
      <c r="G22" s="215"/>
      <c r="I22" s="116"/>
      <c r="J22" s="207"/>
      <c r="K22" s="116"/>
    </row>
    <row r="23" spans="1:11" ht="30" customHeight="1" x14ac:dyDescent="0.3">
      <c r="A23" s="216" t="s">
        <v>1430</v>
      </c>
      <c r="B23" s="568" t="s">
        <v>262</v>
      </c>
      <c r="C23" s="217" t="s">
        <v>170</v>
      </c>
      <c r="D23" s="218"/>
      <c r="E23" s="219"/>
      <c r="F23" s="191"/>
      <c r="G23" s="296" t="s">
        <v>101</v>
      </c>
      <c r="I23" s="116" t="e">
        <f>IF(NOT(ISBLANK($B23)),VLOOKUP($B23,specdata,2,FALSE()),"")</f>
        <v>#N/A</v>
      </c>
      <c r="J23" s="207">
        <f>VLOOKUP(G23,AvailabilityData,2,FALSE())</f>
        <v>0</v>
      </c>
      <c r="K23" s="116" t="e">
        <f>I23*J23</f>
        <v>#N/A</v>
      </c>
    </row>
    <row r="24" spans="1:11" ht="30" customHeight="1" x14ac:dyDescent="0.3">
      <c r="A24" s="216" t="s">
        <v>1431</v>
      </c>
      <c r="B24" s="568" t="s">
        <v>262</v>
      </c>
      <c r="C24" s="221" t="s">
        <v>171</v>
      </c>
      <c r="D24" s="218"/>
      <c r="E24" s="219"/>
      <c r="F24" s="166"/>
      <c r="G24" s="299" t="s">
        <v>101</v>
      </c>
      <c r="I24" s="116" t="e">
        <f>IF(NOT(ISBLANK($B24)),VLOOKUP($B24,specdata,2,FALSE()),"")</f>
        <v>#N/A</v>
      </c>
      <c r="J24" s="207">
        <f>VLOOKUP(G24,AvailabilityData,2,FALSE())</f>
        <v>0</v>
      </c>
      <c r="K24" s="116" t="e">
        <f>I24*J24</f>
        <v>#N/A</v>
      </c>
    </row>
    <row r="25" spans="1:11" ht="30" customHeight="1" x14ac:dyDescent="0.3">
      <c r="A25" s="216" t="s">
        <v>1432</v>
      </c>
      <c r="B25" s="568" t="s">
        <v>262</v>
      </c>
      <c r="C25" s="221" t="s">
        <v>172</v>
      </c>
      <c r="D25" s="218"/>
      <c r="E25" s="219"/>
      <c r="F25" s="166"/>
      <c r="G25" s="299" t="s">
        <v>101</v>
      </c>
      <c r="I25" s="116" t="e">
        <f>IF(NOT(ISBLANK($B25)),VLOOKUP($B25,specdata,2,FALSE()),"")</f>
        <v>#N/A</v>
      </c>
      <c r="J25" s="207">
        <f>VLOOKUP(G25,AvailabilityData,2,FALSE())</f>
        <v>0</v>
      </c>
      <c r="K25" s="116" t="e">
        <f>I25*J25</f>
        <v>#N/A</v>
      </c>
    </row>
    <row r="26" spans="1:11" ht="30" customHeight="1" x14ac:dyDescent="0.3">
      <c r="A26" s="216" t="s">
        <v>1433</v>
      </c>
      <c r="B26" s="567" t="s">
        <v>262</v>
      </c>
      <c r="C26" s="222" t="s">
        <v>173</v>
      </c>
      <c r="D26" s="228"/>
      <c r="E26" s="229"/>
      <c r="F26" s="173"/>
      <c r="G26" s="293" t="s">
        <v>101</v>
      </c>
      <c r="I26" s="116" t="e">
        <f>IF(NOT(ISBLANK($B26)),VLOOKUP($B26,specdata,2,FALSE()),"")</f>
        <v>#N/A</v>
      </c>
      <c r="J26" s="207">
        <f>VLOOKUP(G26,AvailabilityData,2,FALSE())</f>
        <v>0</v>
      </c>
      <c r="K26" s="116" t="e">
        <f>I26*J26</f>
        <v>#N/A</v>
      </c>
    </row>
    <row r="27" spans="1:11" ht="15.6" x14ac:dyDescent="0.3">
      <c r="A27" s="210"/>
      <c r="B27" s="211"/>
      <c r="C27" s="364" t="s">
        <v>174</v>
      </c>
      <c r="D27" s="213"/>
      <c r="E27" s="214"/>
      <c r="F27" s="181"/>
      <c r="G27" s="215"/>
      <c r="I27" s="116"/>
      <c r="J27" s="207"/>
      <c r="K27" s="116"/>
    </row>
    <row r="28" spans="1:11" ht="30" customHeight="1" x14ac:dyDescent="0.3">
      <c r="A28" s="216" t="s">
        <v>1434</v>
      </c>
      <c r="B28" s="568" t="s">
        <v>1435</v>
      </c>
      <c r="C28" s="365" t="s">
        <v>1436</v>
      </c>
      <c r="D28" s="218"/>
      <c r="E28" s="219"/>
      <c r="F28" s="191"/>
      <c r="G28" s="296" t="s">
        <v>101</v>
      </c>
      <c r="I28" s="116" t="e">
        <f>IF(NOT(ISBLANK($B28)),VLOOKUP($B28,specdata,2,FALSE()),"")</f>
        <v>#N/A</v>
      </c>
      <c r="J28" s="207">
        <f>VLOOKUP(G28,AvailabilityData,2,FALSE())</f>
        <v>0</v>
      </c>
      <c r="K28" s="116" t="e">
        <f>I28*J28</f>
        <v>#N/A</v>
      </c>
    </row>
    <row r="29" spans="1:11" ht="41.4" x14ac:dyDescent="0.3">
      <c r="A29" s="216" t="s">
        <v>1437</v>
      </c>
      <c r="B29" s="568" t="s">
        <v>1435</v>
      </c>
      <c r="C29" s="336" t="s">
        <v>193</v>
      </c>
      <c r="D29" s="218"/>
      <c r="E29" s="219"/>
      <c r="F29" s="166"/>
      <c r="G29" s="299" t="s">
        <v>101</v>
      </c>
      <c r="I29" s="116" t="e">
        <f>IF(NOT(ISBLANK($B29)),VLOOKUP($B29,specdata,2,FALSE()),"")</f>
        <v>#N/A</v>
      </c>
      <c r="J29" s="207">
        <f>VLOOKUP(G29,AvailabilityData,2,FALSE())</f>
        <v>0</v>
      </c>
      <c r="K29" s="116" t="e">
        <f>I29*J29</f>
        <v>#N/A</v>
      </c>
    </row>
    <row r="30" spans="1:11" ht="30" customHeight="1" x14ac:dyDescent="0.3">
      <c r="A30" s="216" t="s">
        <v>1438</v>
      </c>
      <c r="B30" s="568" t="s">
        <v>262</v>
      </c>
      <c r="C30" s="336" t="s">
        <v>1439</v>
      </c>
      <c r="D30" s="218"/>
      <c r="E30" s="219"/>
      <c r="F30" s="166"/>
      <c r="G30" s="299" t="s">
        <v>101</v>
      </c>
      <c r="I30" s="116" t="e">
        <f>IF(NOT(ISBLANK($B30)),VLOOKUP($B30,specdata,2,FALSE()),"")</f>
        <v>#N/A</v>
      </c>
      <c r="J30" s="207">
        <f>VLOOKUP(G30,AvailabilityData,2,FALSE())</f>
        <v>0</v>
      </c>
      <c r="K30" s="116" t="e">
        <f>I30*J30</f>
        <v>#N/A</v>
      </c>
    </row>
    <row r="31" spans="1:11" ht="30" customHeight="1" x14ac:dyDescent="0.25"/>
    <row r="32" spans="1:11"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row r="43" ht="30" customHeight="1" x14ac:dyDescent="0.25"/>
    <row r="44" ht="30" customHeight="1" x14ac:dyDescent="0.25"/>
    <row r="45" ht="30" customHeight="1" x14ac:dyDescent="0.25"/>
    <row r="46" ht="30" customHeight="1" x14ac:dyDescent="0.25"/>
    <row r="47" ht="30" customHeight="1" x14ac:dyDescent="0.25"/>
    <row r="48" ht="30" customHeight="1" x14ac:dyDescent="0.25"/>
    <row r="49" ht="30" customHeight="1" x14ac:dyDescent="0.25"/>
    <row r="50" ht="30" customHeight="1" x14ac:dyDescent="0.25"/>
    <row r="51" ht="30" customHeight="1" x14ac:dyDescent="0.25"/>
    <row r="52" ht="30" customHeight="1" x14ac:dyDescent="0.25"/>
    <row r="53" ht="30" customHeight="1" x14ac:dyDescent="0.25"/>
    <row r="54" ht="45" customHeight="1" x14ac:dyDescent="0.25"/>
    <row r="55" ht="30" customHeight="1" x14ac:dyDescent="0.25"/>
    <row r="56" ht="30" customHeight="1" x14ac:dyDescent="0.25"/>
    <row r="57" ht="30" customHeight="1" x14ac:dyDescent="0.25"/>
    <row r="58" ht="30" customHeight="1" x14ac:dyDescent="0.25"/>
    <row r="59" ht="30" customHeight="1" x14ac:dyDescent="0.25"/>
    <row r="60" ht="30" customHeight="1" x14ac:dyDescent="0.25"/>
    <row r="61" ht="30" customHeight="1" x14ac:dyDescent="0.25"/>
    <row r="62" ht="30" customHeight="1" x14ac:dyDescent="0.25"/>
    <row r="63" ht="30" customHeight="1" x14ac:dyDescent="0.25"/>
    <row r="64" ht="30" customHeight="1" x14ac:dyDescent="0.25"/>
    <row r="65" ht="30" customHeight="1" x14ac:dyDescent="0.25"/>
    <row r="66" ht="30" customHeight="1" x14ac:dyDescent="0.25"/>
    <row r="67" ht="30" customHeight="1" x14ac:dyDescent="0.25"/>
    <row r="68" ht="30" customHeight="1" x14ac:dyDescent="0.25"/>
    <row r="69" ht="30" customHeight="1" x14ac:dyDescent="0.25"/>
    <row r="70" ht="30" customHeight="1" x14ac:dyDescent="0.25"/>
    <row r="71" ht="59.25" customHeight="1" x14ac:dyDescent="0.25"/>
  </sheetData>
  <conditionalFormatting sqref="B1:B1048576">
    <cfRule type="cellIs" dxfId="66" priority="5" operator="equal">
      <formula>"Not Needed"</formula>
    </cfRule>
    <cfRule type="cellIs" dxfId="65" priority="6" operator="equal">
      <formula>"Extremely Advantageous"</formula>
    </cfRule>
    <cfRule type="cellIs" dxfId="64" priority="7" operator="equal">
      <formula>"Highly Advantageous"</formula>
    </cfRule>
  </conditionalFormatting>
  <conditionalFormatting sqref="B2:B6 B8:B12 B14:B30">
    <cfRule type="cellIs" dxfId="63" priority="4" operator="equal">
      <formula>"Mandatory"</formula>
    </cfRule>
  </conditionalFormatting>
  <conditionalFormatting sqref="G1:G1048576">
    <cfRule type="cellIs" dxfId="62" priority="2" operator="equal">
      <formula>"Exception"</formula>
    </cfRule>
  </conditionalFormatting>
  <conditionalFormatting sqref="G3:G30">
    <cfRule type="cellIs" dxfId="61" priority="3" operator="equal">
      <formula>"Select from Drop Down List"</formula>
    </cfRule>
  </conditionalFormatting>
  <dataValidations count="2">
    <dataValidation type="list" allowBlank="1" showInputMessage="1" showErrorMessage="1" sqref="G3:G30" xr:uid="{00000000-0002-0000-2E00-000000000000}">
      <formula1>Availability</formula1>
      <formula2>0</formula2>
    </dataValidation>
    <dataValidation type="list" allowBlank="1" showInputMessage="1" showErrorMessage="1" errorTitle="Invalid specification type" error="Please enter a Specification type from the drop-down list." sqref="B3:B6 B8:B12 B14:B30" xr:uid="{00000000-0002-0000-2E00-000001000000}">
      <formula1>SpecType</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January, 2024 ©&amp;R&amp;"Arial,Bold"&amp;10&amp;P of &amp;N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F0"/>
    <pageSetUpPr fitToPage="1"/>
  </sheetPr>
  <dimension ref="A1:K139"/>
  <sheetViews>
    <sheetView zoomScale="90" zoomScaleNormal="90" zoomScalePageLayoutView="90" workbookViewId="0">
      <selection activeCell="C8" sqref="C8"/>
    </sheetView>
  </sheetViews>
  <sheetFormatPr defaultColWidth="9" defaultRowHeight="13.8" x14ac:dyDescent="0.25"/>
  <cols>
    <col min="1" max="1" width="12.59765625" style="504" customWidth="1"/>
    <col min="2" max="2" width="14.59765625" style="504" customWidth="1"/>
    <col min="3" max="3" width="65.59765625" style="504" customWidth="1"/>
    <col min="4" max="4" width="65.59765625" style="197" customWidth="1"/>
    <col min="5" max="5" width="10.59765625" style="197" customWidth="1"/>
    <col min="6" max="6" width="6.59765625" style="197" customWidth="1"/>
    <col min="7" max="7" width="30.59765625" style="197" customWidth="1"/>
    <col min="8" max="11" width="8.59765625" style="197" customWidth="1"/>
    <col min="12" max="16384" width="9" style="197"/>
  </cols>
  <sheetData>
    <row r="1" spans="1:11" s="432" customFormat="1" ht="105" customHeight="1" x14ac:dyDescent="0.25">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398" t="str">
        <f>'Support Data'!A24</f>
        <v>Summary</v>
      </c>
      <c r="I1" s="398" t="str">
        <f>'Support Data'!A25</f>
        <v>Spec Weight</v>
      </c>
      <c r="J1" s="398" t="str">
        <f>'Support Data'!A26</f>
        <v>Avail Weight</v>
      </c>
      <c r="K1" s="398" t="str">
        <f>'Support Data'!A27</f>
        <v>Score</v>
      </c>
    </row>
    <row r="2" spans="1:11" x14ac:dyDescent="0.25">
      <c r="A2" s="570" t="s">
        <v>1440</v>
      </c>
      <c r="B2" s="571"/>
      <c r="C2" s="572"/>
      <c r="D2" s="362"/>
      <c r="E2" s="363"/>
      <c r="F2" s="363"/>
      <c r="G2" s="363"/>
      <c r="H2" s="197">
        <f>COUNTA(B3:B29)</f>
        <v>24</v>
      </c>
      <c r="K2" s="197" t="e">
        <f>SUM(K3:K29)</f>
        <v>#N/A</v>
      </c>
    </row>
    <row r="3" spans="1:11" ht="27.6" x14ac:dyDescent="0.25">
      <c r="A3" s="573" t="s">
        <v>1441</v>
      </c>
      <c r="B3" s="566" t="s">
        <v>262</v>
      </c>
      <c r="C3" s="574" t="s">
        <v>1442</v>
      </c>
      <c r="D3" s="209"/>
      <c r="E3" s="205"/>
      <c r="F3" s="299"/>
      <c r="G3" s="299" t="s">
        <v>101</v>
      </c>
      <c r="H3" s="197">
        <f>COUNTIF(G:G,"=Select from Drop Down List")</f>
        <v>24</v>
      </c>
      <c r="I3" s="207" t="e">
        <f t="shared" ref="I3:I11" si="0">IF(NOT(ISBLANK($B3)),VLOOKUP($B3,specdata,2,FALSE()),"")</f>
        <v>#N/A</v>
      </c>
      <c r="J3" s="207">
        <f t="shared" ref="J3:J11" si="1">VLOOKUP(G3,AvailabilityData,2,FALSE())</f>
        <v>0</v>
      </c>
      <c r="K3" s="207" t="e">
        <f t="shared" ref="K3:K11" si="2">I3*J3</f>
        <v>#N/A</v>
      </c>
    </row>
    <row r="4" spans="1:11" ht="30" customHeight="1" x14ac:dyDescent="0.25">
      <c r="A4" s="575" t="s">
        <v>1443</v>
      </c>
      <c r="B4" s="566" t="s">
        <v>262</v>
      </c>
      <c r="C4" s="576" t="s">
        <v>1444</v>
      </c>
      <c r="D4" s="209"/>
      <c r="E4" s="205"/>
      <c r="F4" s="299"/>
      <c r="G4" s="299" t="s">
        <v>101</v>
      </c>
      <c r="H4" s="197">
        <f>COUNTIF(G:G,"=Function Available")</f>
        <v>0</v>
      </c>
      <c r="I4" s="207" t="e">
        <f t="shared" si="0"/>
        <v>#N/A</v>
      </c>
      <c r="J4" s="207">
        <f t="shared" si="1"/>
        <v>0</v>
      </c>
      <c r="K4" s="207" t="e">
        <f t="shared" si="2"/>
        <v>#N/A</v>
      </c>
    </row>
    <row r="5" spans="1:11" ht="30" customHeight="1" x14ac:dyDescent="0.25">
      <c r="A5" s="575" t="s">
        <v>1445</v>
      </c>
      <c r="B5" s="566" t="s">
        <v>262</v>
      </c>
      <c r="C5" s="576" t="s">
        <v>1446</v>
      </c>
      <c r="D5" s="209"/>
      <c r="E5" s="205"/>
      <c r="F5" s="299"/>
      <c r="G5" s="299" t="s">
        <v>101</v>
      </c>
      <c r="H5" s="197">
        <f>COUNTIF(F:G,"=Function Not Available")</f>
        <v>0</v>
      </c>
      <c r="I5" s="207" t="e">
        <f t="shared" si="0"/>
        <v>#N/A</v>
      </c>
      <c r="J5" s="207">
        <f t="shared" si="1"/>
        <v>0</v>
      </c>
      <c r="K5" s="207" t="e">
        <f t="shared" si="2"/>
        <v>#N/A</v>
      </c>
    </row>
    <row r="6" spans="1:11" ht="30" customHeight="1" x14ac:dyDescent="0.25">
      <c r="A6" s="575" t="s">
        <v>1447</v>
      </c>
      <c r="B6" s="566" t="s">
        <v>262</v>
      </c>
      <c r="C6" s="576" t="s">
        <v>1448</v>
      </c>
      <c r="D6" s="209"/>
      <c r="E6" s="205"/>
      <c r="F6" s="299"/>
      <c r="G6" s="299" t="s">
        <v>101</v>
      </c>
      <c r="H6" s="197">
        <f>COUNTIF(G:G,"=Exception")</f>
        <v>0</v>
      </c>
      <c r="I6" s="207" t="e">
        <f t="shared" si="0"/>
        <v>#N/A</v>
      </c>
      <c r="J6" s="207">
        <f t="shared" si="1"/>
        <v>0</v>
      </c>
      <c r="K6" s="207" t="e">
        <f t="shared" si="2"/>
        <v>#N/A</v>
      </c>
    </row>
    <row r="7" spans="1:11" ht="30" customHeight="1" x14ac:dyDescent="0.25">
      <c r="A7" s="575" t="s">
        <v>1449</v>
      </c>
      <c r="B7" s="566" t="s">
        <v>262</v>
      </c>
      <c r="C7" s="576" t="s">
        <v>1450</v>
      </c>
      <c r="D7" s="209"/>
      <c r="E7" s="205"/>
      <c r="F7" s="299"/>
      <c r="G7" s="299" t="s">
        <v>101</v>
      </c>
      <c r="H7" s="300">
        <f>COUNTIFS(B:B,"=Extremely Advantageous",G:G,"=Select from Drop Down List")</f>
        <v>0</v>
      </c>
      <c r="I7" s="207" t="e">
        <f t="shared" si="0"/>
        <v>#N/A</v>
      </c>
      <c r="J7" s="207">
        <f t="shared" si="1"/>
        <v>0</v>
      </c>
      <c r="K7" s="207" t="e">
        <f t="shared" si="2"/>
        <v>#N/A</v>
      </c>
    </row>
    <row r="8" spans="1:11" ht="30" customHeight="1" x14ac:dyDescent="0.25">
      <c r="A8" s="575" t="s">
        <v>1451</v>
      </c>
      <c r="B8" s="566" t="s">
        <v>262</v>
      </c>
      <c r="C8" s="576" t="s">
        <v>1452</v>
      </c>
      <c r="D8" s="209"/>
      <c r="E8" s="205"/>
      <c r="F8" s="299"/>
      <c r="G8" s="303" t="s">
        <v>101</v>
      </c>
      <c r="H8" s="300">
        <f>COUNTIFS(B:B,"=Extremely Advantageous",G:G,"=Function Available")</f>
        <v>0</v>
      </c>
      <c r="I8" s="207" t="e">
        <f t="shared" si="0"/>
        <v>#N/A</v>
      </c>
      <c r="J8" s="207">
        <f t="shared" si="1"/>
        <v>0</v>
      </c>
      <c r="K8" s="207" t="e">
        <f t="shared" si="2"/>
        <v>#N/A</v>
      </c>
    </row>
    <row r="9" spans="1:11" ht="30" customHeight="1" x14ac:dyDescent="0.25">
      <c r="A9" s="575" t="s">
        <v>1453</v>
      </c>
      <c r="B9" s="566" t="s">
        <v>262</v>
      </c>
      <c r="C9" s="576" t="s">
        <v>1454</v>
      </c>
      <c r="D9" s="209"/>
      <c r="E9" s="205"/>
      <c r="F9" s="299"/>
      <c r="G9" s="303" t="s">
        <v>101</v>
      </c>
      <c r="H9" s="300">
        <f>COUNTIFS(B:B,"=Extremely Advantageous",G:G,"=Function Not Available")</f>
        <v>0</v>
      </c>
      <c r="I9" s="207" t="e">
        <f t="shared" si="0"/>
        <v>#N/A</v>
      </c>
      <c r="J9" s="207">
        <f t="shared" si="1"/>
        <v>0</v>
      </c>
      <c r="K9" s="207" t="e">
        <f t="shared" si="2"/>
        <v>#N/A</v>
      </c>
    </row>
    <row r="10" spans="1:11" ht="30" customHeight="1" x14ac:dyDescent="0.25">
      <c r="A10" s="575" t="s">
        <v>1455</v>
      </c>
      <c r="B10" s="566" t="s">
        <v>262</v>
      </c>
      <c r="C10" s="576" t="s">
        <v>1456</v>
      </c>
      <c r="D10" s="209"/>
      <c r="E10" s="205"/>
      <c r="F10" s="299"/>
      <c r="G10" s="303" t="s">
        <v>101</v>
      </c>
      <c r="H10" s="300">
        <f>COUNTIFS(B:B,"=Extremely Advantageous",G:G,"=Exception")</f>
        <v>0</v>
      </c>
      <c r="I10" s="207" t="e">
        <f t="shared" si="0"/>
        <v>#N/A</v>
      </c>
      <c r="J10" s="207">
        <f t="shared" si="1"/>
        <v>0</v>
      </c>
      <c r="K10" s="207" t="e">
        <f t="shared" si="2"/>
        <v>#N/A</v>
      </c>
    </row>
    <row r="11" spans="1:11" ht="27.6" x14ac:dyDescent="0.25">
      <c r="A11" s="577" t="s">
        <v>1457</v>
      </c>
      <c r="B11" s="578" t="s">
        <v>262</v>
      </c>
      <c r="C11" s="579" t="s">
        <v>410</v>
      </c>
      <c r="D11" s="223"/>
      <c r="E11" s="224"/>
      <c r="F11" s="293"/>
      <c r="G11" s="301" t="s">
        <v>101</v>
      </c>
      <c r="H11" s="580">
        <f>COUNTIFS(B:B,"=Advantageous",G:G,"=Select from Drop Down List")</f>
        <v>24</v>
      </c>
      <c r="I11" s="207" t="e">
        <f t="shared" si="0"/>
        <v>#N/A</v>
      </c>
      <c r="J11" s="207">
        <f t="shared" si="1"/>
        <v>0</v>
      </c>
      <c r="K11" s="207" t="e">
        <f t="shared" si="2"/>
        <v>#N/A</v>
      </c>
    </row>
    <row r="12" spans="1:11" x14ac:dyDescent="0.25">
      <c r="A12" s="581"/>
      <c r="B12" s="582"/>
      <c r="C12" s="583" t="s">
        <v>168</v>
      </c>
      <c r="D12" s="213"/>
      <c r="E12" s="214"/>
      <c r="F12" s="413"/>
      <c r="G12" s="215"/>
      <c r="H12" s="580">
        <f>COUNTIFS(B:B,"=Advantageous",G:G,"=Function Available")</f>
        <v>0</v>
      </c>
      <c r="I12" s="207"/>
      <c r="J12" s="207"/>
      <c r="K12" s="207"/>
    </row>
    <row r="13" spans="1:11" ht="30" customHeight="1" x14ac:dyDescent="0.25">
      <c r="A13" s="584" t="s">
        <v>1458</v>
      </c>
      <c r="B13" s="585" t="s">
        <v>262</v>
      </c>
      <c r="C13" s="586" t="s">
        <v>185</v>
      </c>
      <c r="D13" s="218"/>
      <c r="E13" s="219"/>
      <c r="F13" s="296"/>
      <c r="G13" s="302" t="s">
        <v>101</v>
      </c>
      <c r="H13" s="580">
        <f>COUNTIFS(B:B,"=Advantageous",G:G,"=Function Not Available")</f>
        <v>0</v>
      </c>
      <c r="I13" s="207" t="e">
        <f t="shared" ref="I13:I19" si="3">IF(NOT(ISBLANK($B13)),VLOOKUP($B13,specdata,2,FALSE()),"")</f>
        <v>#N/A</v>
      </c>
      <c r="J13" s="207">
        <f t="shared" ref="J13:J19" si="4">VLOOKUP(G13,AvailabilityData,2,FALSE())</f>
        <v>0</v>
      </c>
      <c r="K13" s="207" t="e">
        <f t="shared" ref="K13:K19" si="5">I13*J13</f>
        <v>#N/A</v>
      </c>
    </row>
    <row r="14" spans="1:11" ht="30" customHeight="1" x14ac:dyDescent="0.25">
      <c r="A14" s="575" t="s">
        <v>1459</v>
      </c>
      <c r="B14" s="566" t="s">
        <v>262</v>
      </c>
      <c r="C14" s="576" t="s">
        <v>170</v>
      </c>
      <c r="D14" s="209"/>
      <c r="E14" s="205"/>
      <c r="F14" s="299"/>
      <c r="G14" s="299" t="s">
        <v>101</v>
      </c>
      <c r="H14" s="580">
        <f>COUNTIFS(B:B,"=Advantageous",G:G,"=Exception")</f>
        <v>0</v>
      </c>
      <c r="I14" s="207" t="e">
        <f t="shared" si="3"/>
        <v>#N/A</v>
      </c>
      <c r="J14" s="207">
        <f t="shared" si="4"/>
        <v>0</v>
      </c>
      <c r="K14" s="207" t="e">
        <f t="shared" si="5"/>
        <v>#N/A</v>
      </c>
    </row>
    <row r="15" spans="1:11" ht="30" customHeight="1" x14ac:dyDescent="0.25">
      <c r="A15" s="575" t="s">
        <v>1460</v>
      </c>
      <c r="B15" s="566" t="s">
        <v>262</v>
      </c>
      <c r="C15" s="576" t="s">
        <v>171</v>
      </c>
      <c r="D15" s="209"/>
      <c r="E15" s="205"/>
      <c r="F15" s="299"/>
      <c r="G15" s="299" t="s">
        <v>101</v>
      </c>
      <c r="H15" s="587">
        <f>COUNTIFS(B:B,"=Minimal",G:G,"=Select from Drop Down List")</f>
        <v>0</v>
      </c>
      <c r="I15" s="207" t="e">
        <f t="shared" si="3"/>
        <v>#N/A</v>
      </c>
      <c r="J15" s="207">
        <f t="shared" si="4"/>
        <v>0</v>
      </c>
      <c r="K15" s="207" t="e">
        <f t="shared" si="5"/>
        <v>#N/A</v>
      </c>
    </row>
    <row r="16" spans="1:11" ht="30" customHeight="1" x14ac:dyDescent="0.25">
      <c r="A16" s="575" t="s">
        <v>1461</v>
      </c>
      <c r="B16" s="566" t="s">
        <v>262</v>
      </c>
      <c r="C16" s="576" t="s">
        <v>172</v>
      </c>
      <c r="D16" s="209"/>
      <c r="E16" s="205"/>
      <c r="F16" s="299"/>
      <c r="G16" s="299" t="s">
        <v>101</v>
      </c>
      <c r="H16" s="587">
        <f>COUNTIFS(B:B,"=Minimal",G:G,"=Function Available")</f>
        <v>0</v>
      </c>
      <c r="I16" s="207" t="e">
        <f t="shared" si="3"/>
        <v>#N/A</v>
      </c>
      <c r="J16" s="207">
        <f t="shared" si="4"/>
        <v>0</v>
      </c>
      <c r="K16" s="207" t="e">
        <f t="shared" si="5"/>
        <v>#N/A</v>
      </c>
    </row>
    <row r="17" spans="1:11" ht="30" customHeight="1" x14ac:dyDescent="0.25">
      <c r="A17" s="575" t="s">
        <v>1462</v>
      </c>
      <c r="B17" s="566" t="s">
        <v>262</v>
      </c>
      <c r="C17" s="576" t="s">
        <v>255</v>
      </c>
      <c r="D17" s="209"/>
      <c r="E17" s="205"/>
      <c r="F17" s="299"/>
      <c r="G17" s="299" t="s">
        <v>101</v>
      </c>
      <c r="H17" s="587">
        <f>COUNTIFS(B:B,"=Minimal",G:G,"=Function Not Available")</f>
        <v>0</v>
      </c>
      <c r="I17" s="207" t="e">
        <f t="shared" si="3"/>
        <v>#N/A</v>
      </c>
      <c r="J17" s="207">
        <f t="shared" si="4"/>
        <v>0</v>
      </c>
      <c r="K17" s="207" t="e">
        <f t="shared" si="5"/>
        <v>#N/A</v>
      </c>
    </row>
    <row r="18" spans="1:11" ht="27.6" x14ac:dyDescent="0.25">
      <c r="A18" s="575" t="s">
        <v>1463</v>
      </c>
      <c r="B18" s="566" t="s">
        <v>262</v>
      </c>
      <c r="C18" s="576" t="s">
        <v>411</v>
      </c>
      <c r="D18" s="209"/>
      <c r="E18" s="205"/>
      <c r="F18" s="299"/>
      <c r="G18" s="293" t="s">
        <v>101</v>
      </c>
      <c r="H18" s="587">
        <f>COUNTIFS(B:B,"=Minimal",G:G,"=Exception")</f>
        <v>0</v>
      </c>
      <c r="I18" s="207" t="e">
        <f t="shared" si="3"/>
        <v>#N/A</v>
      </c>
      <c r="J18" s="207">
        <f t="shared" si="4"/>
        <v>0</v>
      </c>
      <c r="K18" s="207" t="e">
        <f t="shared" si="5"/>
        <v>#N/A</v>
      </c>
    </row>
    <row r="19" spans="1:11" ht="30" customHeight="1" x14ac:dyDescent="0.25">
      <c r="A19" s="577" t="s">
        <v>1464</v>
      </c>
      <c r="B19" s="578" t="s">
        <v>262</v>
      </c>
      <c r="C19" s="579" t="s">
        <v>207</v>
      </c>
      <c r="D19" s="223"/>
      <c r="E19" s="224"/>
      <c r="F19" s="293"/>
      <c r="G19" s="293" t="s">
        <v>101</v>
      </c>
      <c r="I19" s="207" t="e">
        <f t="shared" si="3"/>
        <v>#N/A</v>
      </c>
      <c r="J19" s="207">
        <f t="shared" si="4"/>
        <v>0</v>
      </c>
      <c r="K19" s="207" t="e">
        <f t="shared" si="5"/>
        <v>#N/A</v>
      </c>
    </row>
    <row r="20" spans="1:11" x14ac:dyDescent="0.25">
      <c r="A20" s="581"/>
      <c r="B20" s="582"/>
      <c r="C20" s="588" t="s">
        <v>165</v>
      </c>
      <c r="D20" s="213"/>
      <c r="E20" s="214"/>
      <c r="F20" s="413"/>
      <c r="G20" s="215"/>
      <c r="I20" s="207"/>
      <c r="J20" s="207"/>
      <c r="K20" s="207"/>
    </row>
    <row r="21" spans="1:11" ht="30" customHeight="1" x14ac:dyDescent="0.25">
      <c r="A21" s="584" t="s">
        <v>1465</v>
      </c>
      <c r="B21" s="585" t="s">
        <v>262</v>
      </c>
      <c r="C21" s="589" t="s">
        <v>208</v>
      </c>
      <c r="D21" s="218"/>
      <c r="E21" s="219"/>
      <c r="F21" s="296"/>
      <c r="G21" s="296" t="s">
        <v>101</v>
      </c>
      <c r="I21" s="207" t="e">
        <f>IF(NOT(ISBLANK($B21)),VLOOKUP($B21,specdata,2,FALSE()),"")</f>
        <v>#N/A</v>
      </c>
      <c r="J21" s="207">
        <f>VLOOKUP(G21,AvailabilityData,2,FALSE())</f>
        <v>0</v>
      </c>
      <c r="K21" s="207" t="e">
        <f>I21*J21</f>
        <v>#N/A</v>
      </c>
    </row>
    <row r="22" spans="1:11" ht="30" customHeight="1" x14ac:dyDescent="0.25">
      <c r="A22" s="575" t="s">
        <v>1466</v>
      </c>
      <c r="B22" s="566" t="s">
        <v>262</v>
      </c>
      <c r="C22" s="590" t="s">
        <v>257</v>
      </c>
      <c r="D22" s="209"/>
      <c r="E22" s="205"/>
      <c r="F22" s="299"/>
      <c r="G22" s="299" t="s">
        <v>101</v>
      </c>
      <c r="I22" s="207" t="e">
        <f>IF(NOT(ISBLANK($B22)),VLOOKUP($B22,specdata,2,FALSE()),"")</f>
        <v>#N/A</v>
      </c>
      <c r="J22" s="207">
        <f>VLOOKUP(G22,AvailabilityData,2,FALSE())</f>
        <v>0</v>
      </c>
      <c r="K22" s="207" t="e">
        <f>I22*J22</f>
        <v>#N/A</v>
      </c>
    </row>
    <row r="23" spans="1:11" ht="30" customHeight="1" x14ac:dyDescent="0.25">
      <c r="A23" s="575" t="s">
        <v>1467</v>
      </c>
      <c r="B23" s="566" t="s">
        <v>262</v>
      </c>
      <c r="C23" s="590" t="s">
        <v>210</v>
      </c>
      <c r="D23" s="209"/>
      <c r="E23" s="205"/>
      <c r="F23" s="299"/>
      <c r="G23" s="299" t="s">
        <v>101</v>
      </c>
      <c r="I23" s="207" t="e">
        <f>IF(NOT(ISBLANK($B23)),VLOOKUP($B23,specdata,2,FALSE()),"")</f>
        <v>#N/A</v>
      </c>
      <c r="J23" s="207">
        <f>VLOOKUP(G23,AvailabilityData,2,FALSE())</f>
        <v>0</v>
      </c>
      <c r="K23" s="207" t="e">
        <f>I23*J23</f>
        <v>#N/A</v>
      </c>
    </row>
    <row r="24" spans="1:11" ht="30" customHeight="1" x14ac:dyDescent="0.25">
      <c r="A24" s="577" t="s">
        <v>1468</v>
      </c>
      <c r="B24" s="578" t="s">
        <v>262</v>
      </c>
      <c r="C24" s="591" t="s">
        <v>211</v>
      </c>
      <c r="D24" s="223"/>
      <c r="E24" s="224"/>
      <c r="F24" s="293"/>
      <c r="G24" s="293" t="s">
        <v>101</v>
      </c>
      <c r="I24" s="207" t="e">
        <f>IF(NOT(ISBLANK($B24)),VLOOKUP($B24,specdata,2,FALSE()),"")</f>
        <v>#N/A</v>
      </c>
      <c r="J24" s="207">
        <f>VLOOKUP(G24,AvailabilityData,2,FALSE())</f>
        <v>0</v>
      </c>
      <c r="K24" s="207" t="e">
        <f>I24*J24</f>
        <v>#N/A</v>
      </c>
    </row>
    <row r="25" spans="1:11" x14ac:dyDescent="0.25">
      <c r="A25" s="581"/>
      <c r="B25" s="582"/>
      <c r="C25" s="592" t="s">
        <v>174</v>
      </c>
      <c r="D25" s="213"/>
      <c r="E25" s="214"/>
      <c r="F25" s="413"/>
      <c r="G25" s="215"/>
      <c r="I25" s="207"/>
      <c r="J25" s="207"/>
      <c r="K25" s="207"/>
    </row>
    <row r="26" spans="1:11" ht="30" customHeight="1" x14ac:dyDescent="0.25">
      <c r="A26" s="584" t="s">
        <v>1469</v>
      </c>
      <c r="B26" s="585" t="s">
        <v>262</v>
      </c>
      <c r="C26" s="593" t="s">
        <v>258</v>
      </c>
      <c r="D26" s="218"/>
      <c r="E26" s="219"/>
      <c r="F26" s="296"/>
      <c r="G26" s="296" t="s">
        <v>101</v>
      </c>
      <c r="I26" s="207" t="e">
        <f>IF(NOT(ISBLANK($B26)),VLOOKUP($B26,specdata,2,FALSE()),"")</f>
        <v>#N/A</v>
      </c>
      <c r="J26" s="207">
        <f>VLOOKUP(G26,AvailabilityData,2,FALSE())</f>
        <v>0</v>
      </c>
      <c r="K26" s="207" t="e">
        <f>I26*J26</f>
        <v>#N/A</v>
      </c>
    </row>
    <row r="27" spans="1:11" ht="27.6" x14ac:dyDescent="0.25">
      <c r="A27" s="575" t="s">
        <v>1470</v>
      </c>
      <c r="B27" s="566" t="s">
        <v>262</v>
      </c>
      <c r="C27" s="576" t="s">
        <v>949</v>
      </c>
      <c r="D27" s="209"/>
      <c r="E27" s="205"/>
      <c r="F27" s="299"/>
      <c r="G27" s="293" t="s">
        <v>101</v>
      </c>
      <c r="I27" s="207" t="e">
        <f>IF(NOT(ISBLANK($B27)),VLOOKUP($B27,specdata,2,FALSE()),"")</f>
        <v>#N/A</v>
      </c>
      <c r="J27" s="207">
        <f>VLOOKUP(G27,AvailabilityData,2,FALSE())</f>
        <v>0</v>
      </c>
      <c r="K27" s="207" t="e">
        <f>I27*J27</f>
        <v>#N/A</v>
      </c>
    </row>
    <row r="28" spans="1:11" ht="43.5" customHeight="1" x14ac:dyDescent="0.25">
      <c r="A28" s="575" t="s">
        <v>1471</v>
      </c>
      <c r="B28" s="566" t="s">
        <v>262</v>
      </c>
      <c r="C28" s="576" t="s">
        <v>193</v>
      </c>
      <c r="D28" s="440"/>
      <c r="E28" s="205"/>
      <c r="F28" s="299"/>
      <c r="G28" s="299" t="s">
        <v>101</v>
      </c>
      <c r="I28" s="207" t="e">
        <f>IF(NOT(ISBLANK($B28)),VLOOKUP($B28,specdata,2,FALSE()),"")</f>
        <v>#N/A</v>
      </c>
      <c r="J28" s="207">
        <f>VLOOKUP(G28,AvailabilityData,2,FALSE())</f>
        <v>0</v>
      </c>
      <c r="K28" s="207" t="e">
        <f>I28*J28</f>
        <v>#N/A</v>
      </c>
    </row>
    <row r="29" spans="1:11" ht="27.6" x14ac:dyDescent="0.25">
      <c r="A29" s="575" t="s">
        <v>1472</v>
      </c>
      <c r="B29" s="566" t="s">
        <v>262</v>
      </c>
      <c r="C29" s="576" t="s">
        <v>1473</v>
      </c>
      <c r="D29" s="440"/>
      <c r="E29" s="205"/>
      <c r="F29" s="299"/>
      <c r="G29" s="299" t="s">
        <v>101</v>
      </c>
      <c r="I29" s="207" t="e">
        <f>IF(NOT(ISBLANK($B29)),VLOOKUP($B29,specdata,2,FALSE()),"")</f>
        <v>#N/A</v>
      </c>
      <c r="J29" s="207">
        <f>VLOOKUP(G29,AvailabilityData,2,FALSE())</f>
        <v>0</v>
      </c>
      <c r="K29" s="207" t="e">
        <f>I29*J29</f>
        <v>#N/A</v>
      </c>
    </row>
    <row r="30" spans="1:11" ht="30" customHeight="1" x14ac:dyDescent="0.25"/>
    <row r="31" spans="1:11" ht="30" customHeight="1" x14ac:dyDescent="0.25"/>
    <row r="32" spans="1:11" ht="30" customHeight="1" x14ac:dyDescent="0.25"/>
    <row r="33" spans="3:4" ht="30" customHeight="1" x14ac:dyDescent="0.25"/>
    <row r="34" spans="3:4" ht="30" customHeight="1" x14ac:dyDescent="0.25"/>
    <row r="35" spans="3:4" ht="30" customHeight="1" x14ac:dyDescent="0.25"/>
    <row r="36" spans="3:4" ht="30" customHeight="1" x14ac:dyDescent="0.25"/>
    <row r="37" spans="3:4" ht="30" customHeight="1" x14ac:dyDescent="0.25"/>
    <row r="38" spans="3:4" ht="30" customHeight="1" x14ac:dyDescent="0.25"/>
    <row r="39" spans="3:4" ht="30" customHeight="1" x14ac:dyDescent="0.25"/>
    <row r="40" spans="3:4" ht="30" customHeight="1" x14ac:dyDescent="0.25"/>
    <row r="41" spans="3:4" ht="30" customHeight="1" x14ac:dyDescent="0.25"/>
    <row r="42" spans="3:4" ht="30" customHeight="1" x14ac:dyDescent="0.25"/>
    <row r="43" spans="3:4" ht="30" customHeight="1" x14ac:dyDescent="0.25"/>
    <row r="44" spans="3:4" ht="30" customHeight="1" x14ac:dyDescent="0.25"/>
    <row r="45" spans="3:4" ht="30" customHeight="1" x14ac:dyDescent="0.25"/>
    <row r="47" spans="3:4" ht="30" customHeight="1" x14ac:dyDescent="0.25">
      <c r="C47" s="356"/>
      <c r="D47" s="359"/>
    </row>
    <row r="48" spans="3:4" ht="30" customHeight="1" x14ac:dyDescent="0.25">
      <c r="C48" s="356"/>
      <c r="D48" s="359"/>
    </row>
    <row r="49" spans="3:4" ht="30" customHeight="1" x14ac:dyDescent="0.25">
      <c r="C49" s="356"/>
      <c r="D49" s="359"/>
    </row>
    <row r="50" spans="3:4" ht="30" customHeight="1" x14ac:dyDescent="0.25"/>
    <row r="51" spans="3:4" ht="30" customHeight="1" x14ac:dyDescent="0.25">
      <c r="C51" s="594"/>
      <c r="D51" s="360"/>
    </row>
    <row r="52" spans="3:4" ht="30" customHeight="1" x14ac:dyDescent="0.25">
      <c r="C52" s="594"/>
      <c r="D52" s="360"/>
    </row>
    <row r="53" spans="3:4" ht="30" customHeight="1" x14ac:dyDescent="0.25">
      <c r="C53" s="594"/>
      <c r="D53" s="360"/>
    </row>
    <row r="54" spans="3:4" ht="30" customHeight="1" x14ac:dyDescent="0.25">
      <c r="C54" s="594"/>
      <c r="D54" s="360"/>
    </row>
    <row r="55" spans="3:4" ht="30" customHeight="1" x14ac:dyDescent="0.25">
      <c r="C55" s="594"/>
      <c r="D55" s="360"/>
    </row>
    <row r="56" spans="3:4" ht="30" customHeight="1" x14ac:dyDescent="0.25">
      <c r="C56" s="594"/>
      <c r="D56" s="360"/>
    </row>
    <row r="57" spans="3:4" ht="30" customHeight="1" x14ac:dyDescent="0.25">
      <c r="C57" s="594"/>
      <c r="D57" s="360"/>
    </row>
    <row r="58" spans="3:4" ht="30" customHeight="1" x14ac:dyDescent="0.25">
      <c r="C58" s="594"/>
      <c r="D58" s="360"/>
    </row>
    <row r="59" spans="3:4" ht="30" customHeight="1" x14ac:dyDescent="0.25">
      <c r="C59" s="356"/>
      <c r="D59" s="359"/>
    </row>
    <row r="60" spans="3:4" ht="30" customHeight="1" x14ac:dyDescent="0.25">
      <c r="C60" s="356"/>
      <c r="D60" s="359"/>
    </row>
    <row r="61" spans="3:4" ht="30" customHeight="1" x14ac:dyDescent="0.25">
      <c r="C61" s="356"/>
      <c r="D61" s="359"/>
    </row>
    <row r="62" spans="3:4" ht="30" customHeight="1" x14ac:dyDescent="0.25">
      <c r="C62" s="356"/>
      <c r="D62" s="359"/>
    </row>
    <row r="63" spans="3:4" ht="30" customHeight="1" x14ac:dyDescent="0.25">
      <c r="C63" s="594"/>
      <c r="D63" s="360"/>
    </row>
    <row r="64" spans="3:4" ht="30" customHeight="1" x14ac:dyDescent="0.25">
      <c r="C64" s="594"/>
      <c r="D64" s="360"/>
    </row>
    <row r="65" spans="3:4" ht="30" customHeight="1" x14ac:dyDescent="0.25">
      <c r="C65" s="594"/>
      <c r="D65" s="360"/>
    </row>
    <row r="66" spans="3:4" ht="30" customHeight="1" x14ac:dyDescent="0.25">
      <c r="C66" s="594"/>
      <c r="D66" s="360"/>
    </row>
    <row r="67" spans="3:4" ht="30" customHeight="1" x14ac:dyDescent="0.25">
      <c r="C67" s="594"/>
      <c r="D67" s="360"/>
    </row>
    <row r="68" spans="3:4" ht="30" customHeight="1" x14ac:dyDescent="0.25">
      <c r="C68" s="594"/>
      <c r="D68" s="360"/>
    </row>
    <row r="69" spans="3:4" ht="30" customHeight="1" x14ac:dyDescent="0.25">
      <c r="C69" s="594"/>
      <c r="D69" s="360"/>
    </row>
    <row r="70" spans="3:4" ht="30" customHeight="1" x14ac:dyDescent="0.25">
      <c r="C70" s="594"/>
      <c r="D70" s="360"/>
    </row>
    <row r="71" spans="3:4" ht="30" customHeight="1" x14ac:dyDescent="0.25"/>
    <row r="72" spans="3:4" ht="30" customHeight="1" x14ac:dyDescent="0.25"/>
    <row r="73" spans="3:4" ht="30" customHeight="1" x14ac:dyDescent="0.25"/>
    <row r="74" spans="3:4" ht="30" customHeight="1" x14ac:dyDescent="0.25"/>
    <row r="75" spans="3:4" ht="30" customHeight="1" x14ac:dyDescent="0.25"/>
    <row r="76" spans="3:4" ht="30" customHeight="1" x14ac:dyDescent="0.25"/>
    <row r="77" spans="3:4" ht="30" customHeight="1" x14ac:dyDescent="0.25"/>
    <row r="78" spans="3:4" ht="30" customHeight="1" x14ac:dyDescent="0.25"/>
    <row r="79" spans="3:4" ht="30" customHeight="1" x14ac:dyDescent="0.25"/>
    <row r="80" spans="3:4"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row r="91" ht="30" customHeight="1" x14ac:dyDescent="0.25"/>
    <row r="92" ht="30" customHeight="1" x14ac:dyDescent="0.25"/>
    <row r="93" ht="30" customHeight="1" x14ac:dyDescent="0.25"/>
    <row r="94" ht="30" customHeight="1" x14ac:dyDescent="0.25"/>
    <row r="95" ht="30" customHeight="1" x14ac:dyDescent="0.25"/>
    <row r="96" ht="30" customHeight="1" x14ac:dyDescent="0.25"/>
    <row r="97" ht="30" customHeight="1" x14ac:dyDescent="0.25"/>
    <row r="98" ht="30" customHeight="1" x14ac:dyDescent="0.25"/>
    <row r="99" ht="30" customHeight="1" x14ac:dyDescent="0.25"/>
    <row r="100" ht="30" customHeight="1" x14ac:dyDescent="0.25"/>
    <row r="101" ht="30" customHeight="1" x14ac:dyDescent="0.25"/>
    <row r="102" ht="30" customHeight="1" x14ac:dyDescent="0.25"/>
    <row r="103" ht="30" customHeight="1" x14ac:dyDescent="0.25"/>
    <row r="104" ht="30" customHeight="1" x14ac:dyDescent="0.25"/>
    <row r="105" ht="30" customHeight="1" x14ac:dyDescent="0.25"/>
    <row r="106" ht="30" customHeight="1" x14ac:dyDescent="0.25"/>
    <row r="107" ht="30" customHeight="1" x14ac:dyDescent="0.25"/>
    <row r="108" ht="30" customHeight="1" x14ac:dyDescent="0.25"/>
    <row r="109" ht="30" customHeight="1" x14ac:dyDescent="0.25"/>
    <row r="110" ht="30" customHeight="1" x14ac:dyDescent="0.25"/>
    <row r="111" ht="30" customHeight="1" x14ac:dyDescent="0.25"/>
    <row r="112" ht="30" customHeight="1" x14ac:dyDescent="0.25"/>
    <row r="113" ht="30" customHeight="1" x14ac:dyDescent="0.25"/>
    <row r="114" ht="30" customHeight="1" x14ac:dyDescent="0.25"/>
    <row r="115" ht="30" customHeight="1" x14ac:dyDescent="0.25"/>
    <row r="116" ht="30" customHeight="1" x14ac:dyDescent="0.25"/>
    <row r="117" ht="30" customHeight="1" x14ac:dyDescent="0.25"/>
    <row r="118" ht="30" customHeight="1" x14ac:dyDescent="0.25"/>
    <row r="119" ht="30" customHeight="1" x14ac:dyDescent="0.25"/>
    <row r="120" ht="30" customHeight="1" x14ac:dyDescent="0.25"/>
    <row r="121" ht="30" customHeight="1" x14ac:dyDescent="0.25"/>
    <row r="122" ht="45" customHeight="1" x14ac:dyDescent="0.25"/>
    <row r="123" ht="30" customHeight="1" x14ac:dyDescent="0.25"/>
    <row r="124" ht="30" customHeight="1" x14ac:dyDescent="0.25"/>
    <row r="125" ht="30" customHeight="1" x14ac:dyDescent="0.25"/>
    <row r="126" ht="30" customHeight="1" x14ac:dyDescent="0.25"/>
    <row r="127" ht="30" customHeight="1" x14ac:dyDescent="0.25"/>
    <row r="128" ht="30" customHeight="1" x14ac:dyDescent="0.25"/>
    <row r="129" ht="30" customHeight="1" x14ac:dyDescent="0.25"/>
    <row r="130" ht="30" customHeight="1" x14ac:dyDescent="0.25"/>
    <row r="131" ht="30" customHeight="1" x14ac:dyDescent="0.25"/>
    <row r="132" ht="30" customHeight="1" x14ac:dyDescent="0.25"/>
    <row r="133" ht="30" customHeight="1" x14ac:dyDescent="0.25"/>
    <row r="134" ht="30" customHeight="1" x14ac:dyDescent="0.25"/>
    <row r="135" ht="30" customHeight="1" x14ac:dyDescent="0.25"/>
    <row r="136" ht="30" customHeight="1" x14ac:dyDescent="0.25"/>
    <row r="137" ht="30" customHeight="1" x14ac:dyDescent="0.25"/>
    <row r="138" ht="30" customHeight="1" x14ac:dyDescent="0.25"/>
    <row r="139" ht="59.25" customHeight="1" x14ac:dyDescent="0.25"/>
  </sheetData>
  <conditionalFormatting sqref="B1:B2 B30:B1048576">
    <cfRule type="cellIs" dxfId="60" priority="25" operator="equal">
      <formula>"Not Needed"</formula>
    </cfRule>
    <cfRule type="cellIs" dxfId="59" priority="26" operator="equal">
      <formula>"Extremely Advantageous"</formula>
    </cfRule>
    <cfRule type="cellIs" dxfId="58" priority="27" operator="equal">
      <formula>"Highly Advantageous"</formula>
    </cfRule>
  </conditionalFormatting>
  <conditionalFormatting sqref="B2">
    <cfRule type="cellIs" dxfId="57" priority="23" operator="equal">
      <formula>"Mandatory"</formula>
    </cfRule>
  </conditionalFormatting>
  <conditionalFormatting sqref="B3:B29">
    <cfRule type="cellIs" dxfId="56" priority="3" operator="equal">
      <formula>"Select from List"</formula>
    </cfRule>
    <cfRule type="expression" dxfId="55" priority="4">
      <formula>$Q3="Red"</formula>
    </cfRule>
    <cfRule type="expression" dxfId="54" priority="5">
      <formula>$Q3="Orange"</formula>
    </cfRule>
    <cfRule type="expression" dxfId="53" priority="6">
      <formula>$Q3="Yellow"</formula>
    </cfRule>
    <cfRule type="expression" dxfId="52" priority="7">
      <formula>$Q3="Bright Green"</formula>
    </cfRule>
    <cfRule type="expression" dxfId="51" priority="8">
      <formula>$Q3="Light Green"</formula>
    </cfRule>
    <cfRule type="expression" dxfId="50" priority="9">
      <formula>$Q3="Medium Green"</formula>
    </cfRule>
    <cfRule type="expression" dxfId="49" priority="10">
      <formula>$Q3="Dark Green"</formula>
    </cfRule>
    <cfRule type="expression" dxfId="48" priority="11">
      <formula>$Q3="Light Blue"</formula>
    </cfRule>
    <cfRule type="expression" dxfId="47" priority="12">
      <formula>$Q3="Medium Blue"</formula>
    </cfRule>
    <cfRule type="expression" dxfId="46" priority="13">
      <formula>$Q3="Dark Blue"</formula>
    </cfRule>
    <cfRule type="expression" dxfId="45" priority="14">
      <formula>$Q3="Light Purple"</formula>
    </cfRule>
    <cfRule type="expression" dxfId="44" priority="15">
      <formula>$Q3="Dark Purple"</formula>
    </cfRule>
    <cfRule type="expression" dxfId="43" priority="16">
      <formula>$Q3="Light Gray"</formula>
    </cfRule>
    <cfRule type="expression" dxfId="42" priority="17">
      <formula>$Q3="Medium Gray"</formula>
    </cfRule>
    <cfRule type="expression" dxfId="41" priority="18">
      <formula>$Q3="Dark Gray"</formula>
    </cfRule>
    <cfRule type="expression" dxfId="40" priority="19">
      <formula>$Q3="Coral"</formula>
    </cfRule>
    <cfRule type="expression" dxfId="39" priority="20">
      <formula>$Q3="Brown"</formula>
    </cfRule>
    <cfRule type="expression" dxfId="38" priority="21">
      <formula>$Q3="Black"</formula>
    </cfRule>
    <cfRule type="expression" dxfId="37" priority="22">
      <formula>$Q3="White"</formula>
    </cfRule>
  </conditionalFormatting>
  <conditionalFormatting sqref="G1:G1048576">
    <cfRule type="cellIs" dxfId="36" priority="2" operator="equal">
      <formula>"Exception"</formula>
    </cfRule>
  </conditionalFormatting>
  <conditionalFormatting sqref="G3:G29">
    <cfRule type="cellIs" dxfId="35" priority="24" operator="equal">
      <formula>"Select from Drop Down List"</formula>
    </cfRule>
  </conditionalFormatting>
  <dataValidations count="2">
    <dataValidation type="list" allowBlank="1" showInputMessage="1" showErrorMessage="1" sqref="G3:G29" xr:uid="{00000000-0002-0000-2F00-000000000000}">
      <formula1>Availability</formula1>
      <formula2>0</formula2>
    </dataValidation>
    <dataValidation type="custom" allowBlank="1" showInputMessage="1" showErrorMessage="1" errorTitle="NO TEXT" error="Data entry is prohibited when cell is blank" sqref="A3:A29" xr:uid="{00000000-0002-0000-2F00-000001000000}">
      <formula1>"A61="""""</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January, 2024 ©&amp;R&amp;"Arial,Bold"&amp;10&amp;P of &amp;N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50"/>
    <pageSetUpPr fitToPage="1"/>
  </sheetPr>
  <dimension ref="A1:Q180"/>
  <sheetViews>
    <sheetView zoomScaleNormal="100" zoomScalePageLayoutView="90" workbookViewId="0">
      <selection activeCell="D3" sqref="D3"/>
    </sheetView>
  </sheetViews>
  <sheetFormatPr defaultColWidth="9" defaultRowHeight="15.6" x14ac:dyDescent="0.3"/>
  <cols>
    <col min="1" max="1" width="10.59765625" style="113" customWidth="1"/>
    <col min="2" max="2" width="14.59765625" style="113" customWidth="1"/>
    <col min="3" max="3" width="65.59765625" style="261" customWidth="1"/>
    <col min="4" max="4" width="65.59765625" style="115" customWidth="1"/>
    <col min="5" max="5" width="13.3984375" style="115" hidden="1" customWidth="1"/>
    <col min="6" max="6" width="15.09765625" style="115" hidden="1" customWidth="1"/>
    <col min="7" max="7" width="30.59765625" style="115" customWidth="1"/>
    <col min="8" max="11" width="8.59765625" style="116" hidden="1" customWidth="1"/>
    <col min="12" max="12" width="0" style="115" hidden="1" customWidth="1"/>
    <col min="13" max="16384" width="9" style="115"/>
  </cols>
  <sheetData>
    <row r="1" spans="1:17" s="124" customFormat="1" ht="105" customHeight="1" thickBot="1" x14ac:dyDescent="0.3">
      <c r="A1" s="119" t="s">
        <v>102</v>
      </c>
      <c r="B1" s="346" t="s">
        <v>103</v>
      </c>
      <c r="C1" s="119" t="str">
        <f>'Support Data'!A18</f>
        <v>Specifications</v>
      </c>
      <c r="D1" s="120" t="str">
        <f>'Support Data'!$A$19</f>
        <v>Contractor Work Area</v>
      </c>
      <c r="E1" s="120" t="str">
        <f>'Support Data'!A20</f>
        <v>Def ID</v>
      </c>
      <c r="F1" s="121" t="s">
        <v>78</v>
      </c>
      <c r="G1" s="120" t="str">
        <f>'Support Data'!A22</f>
        <v>Availability</v>
      </c>
      <c r="H1" s="595" t="str">
        <f>'Support Data'!A24</f>
        <v>Summary</v>
      </c>
      <c r="I1" s="595" t="str">
        <f>'Support Data'!A25</f>
        <v>Spec Weight</v>
      </c>
      <c r="J1" s="595" t="str">
        <f>'Support Data'!A26</f>
        <v>Avail Weight</v>
      </c>
      <c r="K1" s="595" t="str">
        <f>'Support Data'!A27</f>
        <v>Score</v>
      </c>
      <c r="L1" s="596" t="s">
        <v>104</v>
      </c>
      <c r="M1" s="847"/>
    </row>
    <row r="2" spans="1:17" ht="16.2" thickBot="1" x14ac:dyDescent="0.35">
      <c r="A2" s="597" t="s">
        <v>28</v>
      </c>
      <c r="B2" s="161"/>
      <c r="C2" s="178"/>
      <c r="D2" s="128"/>
      <c r="E2" s="130"/>
      <c r="F2" s="130"/>
      <c r="G2" s="840"/>
      <c r="H2" s="116">
        <f>COUNTA(B3:B180)</f>
        <v>151</v>
      </c>
      <c r="K2" s="116">
        <f>SUM(K3:K180)</f>
        <v>0</v>
      </c>
    </row>
    <row r="3" spans="1:17" ht="57" customHeight="1" thickBot="1" x14ac:dyDescent="0.35">
      <c r="A3" s="163" t="str">
        <f>IF(L3=1,"VCIN-"&amp;TEXT(COUNTIF($L$3:L3, "1"), "0"), "")</f>
        <v>VCIN-1</v>
      </c>
      <c r="B3" s="260" t="s">
        <v>42</v>
      </c>
      <c r="C3" s="170" t="s">
        <v>1474</v>
      </c>
      <c r="D3" s="192"/>
      <c r="E3" s="172"/>
      <c r="F3" s="173"/>
      <c r="G3" s="137" t="s">
        <v>101</v>
      </c>
      <c r="H3" s="116">
        <f>COUNTIF(G:G,"=Select from Drop Down List")</f>
        <v>151</v>
      </c>
      <c r="I3" s="116">
        <f>IF(NOT(ISBLANK($B3)),VLOOKUP($B3,specdata,2,FALSE()),"")</f>
        <v>5</v>
      </c>
      <c r="J3" s="116">
        <f>VLOOKUP(G3,AvailabilityData,2,FALSE())</f>
        <v>0</v>
      </c>
      <c r="K3" s="116">
        <f>I3*J3</f>
        <v>0</v>
      </c>
      <c r="L3" s="115">
        <v>1</v>
      </c>
      <c r="O3" s="858" t="s">
        <v>107</v>
      </c>
      <c r="P3" s="858"/>
      <c r="Q3" s="858"/>
    </row>
    <row r="4" spans="1:17" ht="31.8" thickBot="1" x14ac:dyDescent="0.35">
      <c r="A4" s="598"/>
      <c r="B4" s="126"/>
      <c r="C4" s="178" t="s">
        <v>1475</v>
      </c>
      <c r="D4" s="194"/>
      <c r="E4" s="180"/>
      <c r="F4" s="181"/>
      <c r="G4" s="606"/>
      <c r="H4" s="116">
        <f>COUNTIF(G:G,"=Function Available")</f>
        <v>0</v>
      </c>
      <c r="O4" s="858"/>
      <c r="P4" s="858"/>
      <c r="Q4" s="858"/>
    </row>
    <row r="5" spans="1:17" ht="30" customHeight="1" thickBot="1" x14ac:dyDescent="0.35">
      <c r="A5" s="163" t="str">
        <f>IF(L5=1,"VCIN-"&amp;TEXT(COUNTIF($L$3:L5, "1"), "0"), "")</f>
        <v>VCIN-2</v>
      </c>
      <c r="B5" s="133" t="s">
        <v>43</v>
      </c>
      <c r="C5" s="154" t="s">
        <v>1476</v>
      </c>
      <c r="D5" s="138"/>
      <c r="E5" s="168"/>
      <c r="F5" s="137"/>
      <c r="G5" s="137" t="s">
        <v>101</v>
      </c>
      <c r="H5" s="116">
        <f>COUNTIF(F:G,"=Function Not Available")</f>
        <v>0</v>
      </c>
      <c r="I5" s="116">
        <f>IF(NOT(ISBLANK($B5)),VLOOKUP($B5,specdata,2,FALSE()),"")</f>
        <v>1</v>
      </c>
      <c r="J5" s="116">
        <f>VLOOKUP(G5,AvailabilityData,2,FALSE())</f>
        <v>0</v>
      </c>
      <c r="K5" s="116">
        <f>I5*J5</f>
        <v>0</v>
      </c>
      <c r="L5" s="115">
        <v>1</v>
      </c>
      <c r="O5" s="858"/>
      <c r="P5" s="858"/>
      <c r="Q5" s="858"/>
    </row>
    <row r="6" spans="1:17" ht="30" customHeight="1" x14ac:dyDescent="0.3">
      <c r="A6" s="163" t="str">
        <f>IF(L6=1,"VCIN-"&amp;TEXT(COUNTIF($L$3:L6, "1"), "0"), "")</f>
        <v>VCIN-3</v>
      </c>
      <c r="B6" s="133" t="s">
        <v>43</v>
      </c>
      <c r="C6" s="154" t="s">
        <v>1477</v>
      </c>
      <c r="D6" s="138"/>
      <c r="E6" s="168"/>
      <c r="F6" s="137"/>
      <c r="G6" s="137" t="s">
        <v>101</v>
      </c>
      <c r="H6" s="116">
        <f>COUNTIF(G:G,"=Exception")</f>
        <v>0</v>
      </c>
      <c r="I6" s="116">
        <f>IF(NOT(ISBLANK($B6)),VLOOKUP($B6,specdata,2,FALSE()),"")</f>
        <v>1</v>
      </c>
      <c r="J6" s="116">
        <f>VLOOKUP(G6,AvailabilityData,2,FALSE())</f>
        <v>0</v>
      </c>
      <c r="K6" s="116">
        <f>I6*J6</f>
        <v>0</v>
      </c>
      <c r="L6" s="115">
        <v>1</v>
      </c>
      <c r="O6" s="858"/>
      <c r="P6" s="858"/>
      <c r="Q6" s="858"/>
    </row>
    <row r="7" spans="1:17" ht="30" customHeight="1" x14ac:dyDescent="0.3">
      <c r="A7" s="163" t="str">
        <f>IF(L7=1,"VCIN-"&amp;TEXT(COUNTIF($L$3:L7, "1"), "0"), "")</f>
        <v>VCIN-4</v>
      </c>
      <c r="B7" s="133" t="s">
        <v>45</v>
      </c>
      <c r="C7" s="154" t="s">
        <v>1478</v>
      </c>
      <c r="D7" s="138"/>
      <c r="E7" s="168"/>
      <c r="F7" s="137"/>
      <c r="G7" s="137" t="s">
        <v>101</v>
      </c>
      <c r="H7" s="599">
        <f>COUNTIFS(B:B,"=Critical",G:G,"=Select from Drop Down List")</f>
        <v>1</v>
      </c>
      <c r="I7" s="116">
        <f>IF(NOT(ISBLANK($B7)),VLOOKUP($B7,specdata,2,FALSE()),"")</f>
        <v>0</v>
      </c>
      <c r="J7" s="116">
        <f>VLOOKUP(G7,AvailabilityData,2,FALSE())</f>
        <v>0</v>
      </c>
      <c r="K7" s="116">
        <f>I7*J7</f>
        <v>0</v>
      </c>
      <c r="L7" s="115">
        <v>1</v>
      </c>
    </row>
    <row r="8" spans="1:17" ht="30" customHeight="1" x14ac:dyDescent="0.3">
      <c r="A8" s="163" t="str">
        <f>IF(L8=1,"VCIN-"&amp;TEXT(COUNTIF($L$3:L8, "1"), "0"), "")</f>
        <v>VCIN-5</v>
      </c>
      <c r="B8" s="133" t="s">
        <v>45</v>
      </c>
      <c r="C8" s="154" t="s">
        <v>1479</v>
      </c>
      <c r="D8" s="138"/>
      <c r="E8" s="168"/>
      <c r="F8" s="137"/>
      <c r="G8" s="137" t="s">
        <v>101</v>
      </c>
      <c r="H8" s="599">
        <f>COUNTIFS(B:B,"=Critical",G:G,"=Function Available")</f>
        <v>0</v>
      </c>
      <c r="I8" s="116">
        <f>IF(NOT(ISBLANK($B8)),VLOOKUP($B8,specdata,2,FALSE()),"")</f>
        <v>0</v>
      </c>
      <c r="J8" s="116">
        <f>VLOOKUP(G8,AvailabilityData,2,FALSE())</f>
        <v>0</v>
      </c>
      <c r="K8" s="116">
        <f>I8*J8</f>
        <v>0</v>
      </c>
      <c r="L8" s="115">
        <v>1</v>
      </c>
    </row>
    <row r="9" spans="1:17" ht="30" customHeight="1" x14ac:dyDescent="0.3">
      <c r="A9" s="543"/>
      <c r="B9" s="126"/>
      <c r="C9" s="178" t="s">
        <v>1480</v>
      </c>
      <c r="D9" s="194"/>
      <c r="E9" s="180"/>
      <c r="F9" s="181"/>
      <c r="G9" s="606"/>
      <c r="H9" s="599">
        <f>COUNTIFS(B:B,"=Critical",G:G,"=Function Not Available")</f>
        <v>0</v>
      </c>
    </row>
    <row r="10" spans="1:17" ht="30" customHeight="1" x14ac:dyDescent="0.3">
      <c r="A10" s="163" t="str">
        <f>IF(L10=1,"VCIN-"&amp;TEXT(COUNTIF($L$3:L10, "1"), "0"), "")</f>
        <v>VCIN-6</v>
      </c>
      <c r="B10" s="183" t="s">
        <v>43</v>
      </c>
      <c r="C10" s="320" t="s">
        <v>1481</v>
      </c>
      <c r="D10" s="185"/>
      <c r="E10" s="186"/>
      <c r="F10" s="191"/>
      <c r="G10" s="187" t="s">
        <v>101</v>
      </c>
      <c r="H10" s="599">
        <f>COUNTIFS(B:B,"=Critical",G:G,"=Exception")</f>
        <v>0</v>
      </c>
      <c r="I10" s="116">
        <f t="shared" ref="I10:I16" si="0">IF(NOT(ISBLANK($B10)),VLOOKUP($B10,specdata,2,FALSE()),"")</f>
        <v>1</v>
      </c>
      <c r="J10" s="116">
        <f t="shared" ref="J10:J16" si="1">VLOOKUP(G10,AvailabilityData,2,FALSE())</f>
        <v>0</v>
      </c>
      <c r="K10" s="116">
        <f t="shared" ref="K10:K16" si="2">I10*J10</f>
        <v>0</v>
      </c>
      <c r="L10" s="115">
        <v>1</v>
      </c>
    </row>
    <row r="11" spans="1:17" ht="30" customHeight="1" x14ac:dyDescent="0.3">
      <c r="A11" s="163" t="str">
        <f>IF(L11=1,"VCIN-"&amp;TEXT(COUNTIF($L$3:L11, "1"), "0"), "")</f>
        <v>VCIN-7</v>
      </c>
      <c r="B11" s="183" t="s">
        <v>43</v>
      </c>
      <c r="C11" s="149" t="s">
        <v>1482</v>
      </c>
      <c r="D11" s="185"/>
      <c r="E11" s="186"/>
      <c r="F11" s="166"/>
      <c r="G11" s="137" t="s">
        <v>101</v>
      </c>
      <c r="H11" s="600">
        <f>COUNTIFS(B:B,"=Important",G:G,"=Select from Drop Down List")</f>
        <v>148</v>
      </c>
      <c r="I11" s="116">
        <f t="shared" si="0"/>
        <v>1</v>
      </c>
      <c r="J11" s="116">
        <f t="shared" si="1"/>
        <v>0</v>
      </c>
      <c r="K11" s="116">
        <f t="shared" si="2"/>
        <v>0</v>
      </c>
      <c r="L11" s="115">
        <v>1</v>
      </c>
    </row>
    <row r="12" spans="1:17" ht="30" customHeight="1" x14ac:dyDescent="0.3">
      <c r="A12" s="163" t="str">
        <f>IF(L12=1,"VCIN-"&amp;TEXT(COUNTIF($L$3:L12, "1"), "0"), "")</f>
        <v>VCIN-8</v>
      </c>
      <c r="B12" s="183" t="s">
        <v>43</v>
      </c>
      <c r="C12" s="149" t="s">
        <v>1483</v>
      </c>
      <c r="D12" s="185"/>
      <c r="E12" s="186"/>
      <c r="F12" s="166"/>
      <c r="G12" s="137" t="s">
        <v>101</v>
      </c>
      <c r="H12" s="600">
        <f>COUNTIFS(B:B,"=Important",G:G,"=Function Available")</f>
        <v>0</v>
      </c>
      <c r="I12" s="116">
        <f t="shared" si="0"/>
        <v>1</v>
      </c>
      <c r="J12" s="116">
        <f t="shared" si="1"/>
        <v>0</v>
      </c>
      <c r="K12" s="116">
        <f t="shared" si="2"/>
        <v>0</v>
      </c>
      <c r="L12" s="115">
        <v>1</v>
      </c>
    </row>
    <row r="13" spans="1:17" ht="30" customHeight="1" x14ac:dyDescent="0.3">
      <c r="A13" s="163" t="str">
        <f>IF(L13=1,"VCIN-"&amp;TEXT(COUNTIF($L$3:L13, "1"), "0"), "")</f>
        <v>VCIN-9</v>
      </c>
      <c r="B13" s="260" t="s">
        <v>43</v>
      </c>
      <c r="C13" s="322" t="s">
        <v>1484</v>
      </c>
      <c r="D13" s="192"/>
      <c r="E13" s="172"/>
      <c r="F13" s="173"/>
      <c r="G13" s="137" t="s">
        <v>101</v>
      </c>
      <c r="H13" s="600">
        <f>COUNTIFS(B:B,"=Important",G:G,"=Function Not Available")</f>
        <v>0</v>
      </c>
      <c r="I13" s="116">
        <f t="shared" si="0"/>
        <v>1</v>
      </c>
      <c r="J13" s="116">
        <f t="shared" si="1"/>
        <v>0</v>
      </c>
      <c r="K13" s="116">
        <f t="shared" si="2"/>
        <v>0</v>
      </c>
      <c r="L13" s="115">
        <v>1</v>
      </c>
    </row>
    <row r="14" spans="1:17" ht="30" customHeight="1" x14ac:dyDescent="0.3">
      <c r="A14" s="163" t="str">
        <f>IF(L14=1,"VCIN-"&amp;TEXT(COUNTIF($L$3:L14, "1"), "0"), "")</f>
        <v>VCIN-10</v>
      </c>
      <c r="B14" s="133" t="s">
        <v>43</v>
      </c>
      <c r="C14" s="149" t="s">
        <v>1485</v>
      </c>
      <c r="D14" s="138"/>
      <c r="E14" s="168"/>
      <c r="F14" s="137"/>
      <c r="G14" s="240" t="s">
        <v>101</v>
      </c>
      <c r="H14" s="600">
        <f>COUNTIFS(B:B,"=Important",G:G,"=Exception")</f>
        <v>0</v>
      </c>
      <c r="I14" s="116">
        <f t="shared" si="0"/>
        <v>1</v>
      </c>
      <c r="J14" s="116">
        <f t="shared" si="1"/>
        <v>0</v>
      </c>
      <c r="K14" s="116">
        <f t="shared" si="2"/>
        <v>0</v>
      </c>
      <c r="L14" s="115">
        <v>1</v>
      </c>
    </row>
    <row r="15" spans="1:17" ht="30" customHeight="1" x14ac:dyDescent="0.3">
      <c r="A15" s="163" t="str">
        <f>IF(L15=1,"VCIN-"&amp;TEXT(COUNTIF($L$3:L15, "1"), "0"), "")</f>
        <v>VCIN-11</v>
      </c>
      <c r="B15" s="133" t="s">
        <v>43</v>
      </c>
      <c r="C15" s="149" t="s">
        <v>1486</v>
      </c>
      <c r="D15" s="138"/>
      <c r="E15" s="168"/>
      <c r="F15" s="137"/>
      <c r="G15" s="240" t="s">
        <v>101</v>
      </c>
      <c r="H15" s="348">
        <f>COUNTIFS(B:B,"=Informational",G:G,"=Select from Drop Down List")</f>
        <v>2</v>
      </c>
      <c r="I15" s="116">
        <f t="shared" si="0"/>
        <v>1</v>
      </c>
      <c r="J15" s="116">
        <f t="shared" si="1"/>
        <v>0</v>
      </c>
      <c r="K15" s="116">
        <f t="shared" si="2"/>
        <v>0</v>
      </c>
      <c r="L15" s="115">
        <v>1</v>
      </c>
    </row>
    <row r="16" spans="1:17" ht="30" customHeight="1" x14ac:dyDescent="0.3">
      <c r="A16" s="163" t="str">
        <f>IF(L16=1,"VCIN-"&amp;TEXT(COUNTIF($L$3:L16, "1"), "0"), "")</f>
        <v>VCIN-12</v>
      </c>
      <c r="B16" s="169" t="s">
        <v>43</v>
      </c>
      <c r="C16" s="322" t="s">
        <v>1487</v>
      </c>
      <c r="D16" s="323"/>
      <c r="E16" s="175"/>
      <c r="F16" s="176"/>
      <c r="G16" s="137" t="s">
        <v>101</v>
      </c>
      <c r="H16" s="348">
        <f>COUNTIFS(B:B,"=Informational",G:G,"=Function Available")</f>
        <v>0</v>
      </c>
      <c r="I16" s="116">
        <f t="shared" si="0"/>
        <v>1</v>
      </c>
      <c r="J16" s="116">
        <f t="shared" si="1"/>
        <v>0</v>
      </c>
      <c r="K16" s="116">
        <f t="shared" si="2"/>
        <v>0</v>
      </c>
      <c r="L16" s="115">
        <v>1</v>
      </c>
    </row>
    <row r="17" spans="1:12" x14ac:dyDescent="0.3">
      <c r="A17" s="316"/>
      <c r="B17" s="126"/>
      <c r="C17" s="193" t="s">
        <v>1488</v>
      </c>
      <c r="D17" s="194"/>
      <c r="E17" s="180"/>
      <c r="F17" s="181"/>
      <c r="G17" s="606"/>
      <c r="H17" s="348">
        <f>COUNTIFS(B:B,"=Informational",G:G,"=Function Not Available")</f>
        <v>0</v>
      </c>
    </row>
    <row r="18" spans="1:12" ht="31.2" x14ac:dyDescent="0.3">
      <c r="A18" s="163" t="str">
        <f>IF(L18=1,"VCIN-"&amp;TEXT(COUNTIF($L$3:L18, "1"), "0"), "")</f>
        <v>VCIN-13</v>
      </c>
      <c r="B18" s="133" t="s">
        <v>43</v>
      </c>
      <c r="C18" s="149" t="s">
        <v>1489</v>
      </c>
      <c r="D18" s="138"/>
      <c r="E18" s="168"/>
      <c r="F18" s="137"/>
      <c r="G18" s="137" t="s">
        <v>101</v>
      </c>
      <c r="H18" s="348">
        <f>COUNTIFS(B:B,"=Informational",G:G,"=Exception")</f>
        <v>0</v>
      </c>
      <c r="I18" s="116">
        <f t="shared" ref="I18:I31" si="3">IF(NOT(ISBLANK($B18)),VLOOKUP($B18,specdata,2,FALSE()),"")</f>
        <v>1</v>
      </c>
      <c r="J18" s="116">
        <f t="shared" ref="J18:J31" si="4">VLOOKUP(G18,AvailabilityData,2,FALSE())</f>
        <v>0</v>
      </c>
      <c r="K18" s="116">
        <f t="shared" ref="K18:K31" si="5">I18*J18</f>
        <v>0</v>
      </c>
      <c r="L18" s="115">
        <v>1</v>
      </c>
    </row>
    <row r="19" spans="1:12" ht="30" customHeight="1" x14ac:dyDescent="0.3">
      <c r="A19" s="163" t="str">
        <f>IF(L19=1,"VCIN-"&amp;TEXT(COUNTIF($L$3:L19, "1"), "0"), "")</f>
        <v>VCIN-14</v>
      </c>
      <c r="B19" s="133" t="s">
        <v>43</v>
      </c>
      <c r="C19" s="149" t="s">
        <v>1490</v>
      </c>
      <c r="D19" s="138"/>
      <c r="E19" s="168"/>
      <c r="F19" s="137"/>
      <c r="G19" s="137" t="s">
        <v>101</v>
      </c>
      <c r="I19" s="116">
        <f t="shared" si="3"/>
        <v>1</v>
      </c>
      <c r="J19" s="116">
        <f t="shared" si="4"/>
        <v>0</v>
      </c>
      <c r="K19" s="116">
        <f t="shared" si="5"/>
        <v>0</v>
      </c>
      <c r="L19" s="115">
        <v>1</v>
      </c>
    </row>
    <row r="20" spans="1:12" ht="30" customHeight="1" x14ac:dyDescent="0.3">
      <c r="A20" s="163" t="str">
        <f>IF(L20=1,"VCIN-"&amp;TEXT(COUNTIF($L$3:L20, "1"), "0"), "")</f>
        <v>VCIN-15</v>
      </c>
      <c r="B20" s="133" t="s">
        <v>43</v>
      </c>
      <c r="C20" s="149" t="s">
        <v>1491</v>
      </c>
      <c r="D20" s="138"/>
      <c r="E20" s="168"/>
      <c r="F20" s="137"/>
      <c r="G20" s="137" t="s">
        <v>101</v>
      </c>
      <c r="I20" s="116">
        <f t="shared" si="3"/>
        <v>1</v>
      </c>
      <c r="J20" s="116">
        <f t="shared" si="4"/>
        <v>0</v>
      </c>
      <c r="K20" s="116">
        <f t="shared" si="5"/>
        <v>0</v>
      </c>
      <c r="L20" s="115">
        <v>1</v>
      </c>
    </row>
    <row r="21" spans="1:12" ht="30" customHeight="1" x14ac:dyDescent="0.3">
      <c r="A21" s="163" t="str">
        <f>IF(L21=1,"VCIN-"&amp;TEXT(COUNTIF($L$3:L21, "1"), "0"), "")</f>
        <v>VCIN-16</v>
      </c>
      <c r="B21" s="133" t="s">
        <v>43</v>
      </c>
      <c r="C21" s="149" t="s">
        <v>1492</v>
      </c>
      <c r="D21" s="138"/>
      <c r="E21" s="168"/>
      <c r="F21" s="137"/>
      <c r="G21" s="137" t="s">
        <v>101</v>
      </c>
      <c r="I21" s="116">
        <f t="shared" si="3"/>
        <v>1</v>
      </c>
      <c r="J21" s="116">
        <f t="shared" si="4"/>
        <v>0</v>
      </c>
      <c r="K21" s="116">
        <f t="shared" si="5"/>
        <v>0</v>
      </c>
      <c r="L21" s="115">
        <v>1</v>
      </c>
    </row>
    <row r="22" spans="1:12" ht="30" customHeight="1" x14ac:dyDescent="0.3">
      <c r="A22" s="163" t="str">
        <f>IF(L22=1,"VCIN-"&amp;TEXT(COUNTIF($L$3:L22, "1"), "0"), "")</f>
        <v>VCIN-17</v>
      </c>
      <c r="B22" s="133" t="s">
        <v>43</v>
      </c>
      <c r="C22" s="149" t="s">
        <v>1493</v>
      </c>
      <c r="D22" s="138"/>
      <c r="E22" s="168"/>
      <c r="F22" s="137"/>
      <c r="G22" s="137" t="s">
        <v>101</v>
      </c>
      <c r="I22" s="116">
        <f t="shared" si="3"/>
        <v>1</v>
      </c>
      <c r="J22" s="116">
        <f t="shared" si="4"/>
        <v>0</v>
      </c>
      <c r="K22" s="116">
        <f t="shared" si="5"/>
        <v>0</v>
      </c>
      <c r="L22" s="115">
        <v>1</v>
      </c>
    </row>
    <row r="23" spans="1:12" ht="30" customHeight="1" x14ac:dyDescent="0.3">
      <c r="A23" s="163" t="str">
        <f>IF(L23=1,"VCIN-"&amp;TEXT(COUNTIF($L$3:L23, "1"), "0"), "")</f>
        <v>VCIN-18</v>
      </c>
      <c r="B23" s="133" t="s">
        <v>43</v>
      </c>
      <c r="C23" s="149" t="s">
        <v>1494</v>
      </c>
      <c r="D23" s="138"/>
      <c r="E23" s="168"/>
      <c r="F23" s="137"/>
      <c r="G23" s="137" t="s">
        <v>101</v>
      </c>
      <c r="I23" s="116">
        <f t="shared" si="3"/>
        <v>1</v>
      </c>
      <c r="J23" s="116">
        <f t="shared" si="4"/>
        <v>0</v>
      </c>
      <c r="K23" s="116">
        <f t="shared" si="5"/>
        <v>0</v>
      </c>
      <c r="L23" s="115">
        <v>1</v>
      </c>
    </row>
    <row r="24" spans="1:12" ht="30" customHeight="1" x14ac:dyDescent="0.3">
      <c r="A24" s="163" t="str">
        <f>IF(L24=1,"VCIN-"&amp;TEXT(COUNTIF($L$3:L24, "1"), "0"), "")</f>
        <v>VCIN-19</v>
      </c>
      <c r="B24" s="133" t="s">
        <v>43</v>
      </c>
      <c r="C24" s="149" t="s">
        <v>1495</v>
      </c>
      <c r="D24" s="138"/>
      <c r="E24" s="168"/>
      <c r="F24" s="137"/>
      <c r="G24" s="137" t="s">
        <v>101</v>
      </c>
      <c r="I24" s="116">
        <f t="shared" si="3"/>
        <v>1</v>
      </c>
      <c r="J24" s="116">
        <f t="shared" si="4"/>
        <v>0</v>
      </c>
      <c r="K24" s="116">
        <f t="shared" si="5"/>
        <v>0</v>
      </c>
      <c r="L24" s="115">
        <v>1</v>
      </c>
    </row>
    <row r="25" spans="1:12" ht="30" customHeight="1" x14ac:dyDescent="0.3">
      <c r="A25" s="163" t="str">
        <f>IF(L25=1,"VCIN-"&amp;TEXT(COUNTIF($L$3:L25, "1"), "0"), "")</f>
        <v>VCIN-20</v>
      </c>
      <c r="B25" s="133" t="s">
        <v>43</v>
      </c>
      <c r="C25" s="149" t="s">
        <v>1496</v>
      </c>
      <c r="D25" s="138"/>
      <c r="E25" s="168"/>
      <c r="F25" s="137"/>
      <c r="G25" s="137" t="s">
        <v>101</v>
      </c>
      <c r="I25" s="116">
        <f t="shared" si="3"/>
        <v>1</v>
      </c>
      <c r="J25" s="116">
        <f t="shared" si="4"/>
        <v>0</v>
      </c>
      <c r="K25" s="116">
        <f t="shared" si="5"/>
        <v>0</v>
      </c>
      <c r="L25" s="115">
        <v>1</v>
      </c>
    </row>
    <row r="26" spans="1:12" ht="30" customHeight="1" x14ac:dyDescent="0.3">
      <c r="A26" s="163" t="str">
        <f>IF(L26=1,"VCIN-"&amp;TEXT(COUNTIF($L$3:L26, "1"), "0"), "")</f>
        <v>VCIN-21</v>
      </c>
      <c r="B26" s="133" t="s">
        <v>43</v>
      </c>
      <c r="C26" s="149" t="s">
        <v>1497</v>
      </c>
      <c r="D26" s="138"/>
      <c r="E26" s="168"/>
      <c r="F26" s="137"/>
      <c r="G26" s="137" t="s">
        <v>101</v>
      </c>
      <c r="I26" s="116">
        <f t="shared" si="3"/>
        <v>1</v>
      </c>
      <c r="J26" s="116">
        <f t="shared" si="4"/>
        <v>0</v>
      </c>
      <c r="K26" s="116">
        <f t="shared" si="5"/>
        <v>0</v>
      </c>
      <c r="L26" s="115">
        <v>1</v>
      </c>
    </row>
    <row r="27" spans="1:12" ht="30" customHeight="1" x14ac:dyDescent="0.3">
      <c r="A27" s="163" t="str">
        <f>IF(L27=1,"VCIN-"&amp;TEXT(COUNTIF($L$3:L27, "1"), "0"), "")</f>
        <v>VCIN-22</v>
      </c>
      <c r="B27" s="133" t="s">
        <v>43</v>
      </c>
      <c r="C27" s="149" t="s">
        <v>1498</v>
      </c>
      <c r="D27" s="138"/>
      <c r="E27" s="168"/>
      <c r="F27" s="137"/>
      <c r="G27" s="137" t="s">
        <v>101</v>
      </c>
      <c r="I27" s="116">
        <f t="shared" si="3"/>
        <v>1</v>
      </c>
      <c r="J27" s="116">
        <f t="shared" si="4"/>
        <v>0</v>
      </c>
      <c r="K27" s="116">
        <f t="shared" si="5"/>
        <v>0</v>
      </c>
      <c r="L27" s="115">
        <v>1</v>
      </c>
    </row>
    <row r="28" spans="1:12" ht="30" customHeight="1" x14ac:dyDescent="0.3">
      <c r="A28" s="163" t="str">
        <f>IF(L28=1,"VCIN-"&amp;TEXT(COUNTIF($L$3:L28, "1"), "0"), "")</f>
        <v>VCIN-23</v>
      </c>
      <c r="B28" s="133" t="s">
        <v>43</v>
      </c>
      <c r="C28" s="149" t="s">
        <v>1499</v>
      </c>
      <c r="D28" s="138"/>
      <c r="E28" s="168"/>
      <c r="F28" s="137"/>
      <c r="G28" s="137" t="s">
        <v>101</v>
      </c>
      <c r="I28" s="116">
        <f t="shared" si="3"/>
        <v>1</v>
      </c>
      <c r="J28" s="116">
        <f t="shared" si="4"/>
        <v>0</v>
      </c>
      <c r="K28" s="116">
        <f t="shared" si="5"/>
        <v>0</v>
      </c>
      <c r="L28" s="115">
        <v>1</v>
      </c>
    </row>
    <row r="29" spans="1:12" ht="30" customHeight="1" x14ac:dyDescent="0.3">
      <c r="A29" s="163" t="str">
        <f>IF(L29=1,"VCIN-"&amp;TEXT(COUNTIF($L$3:L29, "1"), "0"), "")</f>
        <v>VCIN-24</v>
      </c>
      <c r="B29" s="133" t="s">
        <v>43</v>
      </c>
      <c r="C29" s="149" t="s">
        <v>1500</v>
      </c>
      <c r="D29" s="138"/>
      <c r="E29" s="168"/>
      <c r="F29" s="137"/>
      <c r="G29" s="137" t="s">
        <v>101</v>
      </c>
      <c r="I29" s="116">
        <f t="shared" si="3"/>
        <v>1</v>
      </c>
      <c r="J29" s="116">
        <f t="shared" si="4"/>
        <v>0</v>
      </c>
      <c r="K29" s="116">
        <f t="shared" si="5"/>
        <v>0</v>
      </c>
      <c r="L29" s="115">
        <v>1</v>
      </c>
    </row>
    <row r="30" spans="1:12" ht="30" customHeight="1" x14ac:dyDescent="0.3">
      <c r="A30" s="163" t="str">
        <f>IF(L30=1,"VCIN-"&amp;TEXT(COUNTIF($L$3:L30, "1"), "0"), "")</f>
        <v>VCIN-25</v>
      </c>
      <c r="B30" s="133" t="s">
        <v>43</v>
      </c>
      <c r="C30" s="149" t="s">
        <v>1501</v>
      </c>
      <c r="D30" s="138"/>
      <c r="E30" s="168"/>
      <c r="F30" s="137"/>
      <c r="G30" s="137" t="s">
        <v>101</v>
      </c>
      <c r="I30" s="116">
        <f t="shared" si="3"/>
        <v>1</v>
      </c>
      <c r="J30" s="116">
        <f t="shared" si="4"/>
        <v>0</v>
      </c>
      <c r="K30" s="116">
        <f t="shared" si="5"/>
        <v>0</v>
      </c>
      <c r="L30" s="115">
        <v>1</v>
      </c>
    </row>
    <row r="31" spans="1:12" ht="30" customHeight="1" x14ac:dyDescent="0.3">
      <c r="A31" s="163" t="str">
        <f>IF(L31=1,"VCIN-"&amp;TEXT(COUNTIF($L$3:L31, "1"), "0"), "")</f>
        <v>VCIN-26</v>
      </c>
      <c r="B31" s="133" t="s">
        <v>43</v>
      </c>
      <c r="C31" s="149" t="s">
        <v>1502</v>
      </c>
      <c r="D31" s="138"/>
      <c r="E31" s="168"/>
      <c r="F31" s="137"/>
      <c r="G31" s="137" t="s">
        <v>101</v>
      </c>
      <c r="I31" s="116">
        <f t="shared" si="3"/>
        <v>1</v>
      </c>
      <c r="J31" s="116">
        <f t="shared" si="4"/>
        <v>0</v>
      </c>
      <c r="K31" s="116">
        <f t="shared" si="5"/>
        <v>0</v>
      </c>
      <c r="L31" s="115">
        <v>1</v>
      </c>
    </row>
    <row r="32" spans="1:12" x14ac:dyDescent="0.3">
      <c r="A32" s="316"/>
      <c r="B32" s="126"/>
      <c r="C32" s="178" t="s">
        <v>1503</v>
      </c>
      <c r="D32" s="194"/>
      <c r="E32" s="180"/>
      <c r="F32" s="181"/>
      <c r="G32" s="606"/>
    </row>
    <row r="33" spans="1:12" ht="30" customHeight="1" x14ac:dyDescent="0.3">
      <c r="A33" s="163" t="str">
        <f>IF(L33=1,"VCIN-"&amp;TEXT(COUNTIF($L$3:L33, "1"), "0"), "")</f>
        <v>VCIN-27</v>
      </c>
      <c r="B33" s="133" t="s">
        <v>43</v>
      </c>
      <c r="C33" s="154" t="s">
        <v>1504</v>
      </c>
      <c r="D33" s="138"/>
      <c r="E33" s="168"/>
      <c r="F33" s="137"/>
      <c r="G33" s="137" t="s">
        <v>101</v>
      </c>
      <c r="I33" s="116">
        <f t="shared" ref="I33:I56" si="6">IF(NOT(ISBLANK($B33)),VLOOKUP($B33,specdata,2,FALSE()),"")</f>
        <v>1</v>
      </c>
      <c r="J33" s="116">
        <f t="shared" ref="J33:J56" si="7">VLOOKUP(G33,AvailabilityData,2,FALSE())</f>
        <v>0</v>
      </c>
      <c r="K33" s="116">
        <f t="shared" ref="K33:K56" si="8">I33*J33</f>
        <v>0</v>
      </c>
      <c r="L33" s="115">
        <v>1</v>
      </c>
    </row>
    <row r="34" spans="1:12" ht="30" customHeight="1" x14ac:dyDescent="0.3">
      <c r="A34" s="163" t="str">
        <f>IF(L34=1,"VCIN-"&amp;TEXT(COUNTIF($L$3:L34, "1"), "0"), "")</f>
        <v>VCIN-28</v>
      </c>
      <c r="B34" s="133" t="s">
        <v>43</v>
      </c>
      <c r="C34" s="154" t="s">
        <v>1505</v>
      </c>
      <c r="D34" s="138"/>
      <c r="E34" s="168"/>
      <c r="F34" s="137"/>
      <c r="G34" s="137" t="s">
        <v>101</v>
      </c>
      <c r="I34" s="116">
        <f t="shared" si="6"/>
        <v>1</v>
      </c>
      <c r="J34" s="116">
        <f t="shared" si="7"/>
        <v>0</v>
      </c>
      <c r="K34" s="116">
        <f t="shared" si="8"/>
        <v>0</v>
      </c>
      <c r="L34" s="115">
        <v>1</v>
      </c>
    </row>
    <row r="35" spans="1:12" ht="30" customHeight="1" x14ac:dyDescent="0.3">
      <c r="A35" s="163" t="str">
        <f>IF(L35=1,"VCIN-"&amp;TEXT(COUNTIF($L$3:L35, "1"), "0"), "")</f>
        <v>VCIN-29</v>
      </c>
      <c r="B35" s="133" t="s">
        <v>43</v>
      </c>
      <c r="C35" s="154" t="s">
        <v>1506</v>
      </c>
      <c r="D35" s="138"/>
      <c r="E35" s="168"/>
      <c r="F35" s="137"/>
      <c r="G35" s="137" t="s">
        <v>101</v>
      </c>
      <c r="I35" s="116">
        <f t="shared" si="6"/>
        <v>1</v>
      </c>
      <c r="J35" s="116">
        <f t="shared" si="7"/>
        <v>0</v>
      </c>
      <c r="K35" s="116">
        <f t="shared" si="8"/>
        <v>0</v>
      </c>
      <c r="L35" s="115">
        <v>1</v>
      </c>
    </row>
    <row r="36" spans="1:12" ht="30" customHeight="1" x14ac:dyDescent="0.3">
      <c r="A36" s="163" t="str">
        <f>IF(L36=1,"VCIN-"&amp;TEXT(COUNTIF($L$3:L36, "1"), "0"), "")</f>
        <v>VCIN-30</v>
      </c>
      <c r="B36" s="133" t="s">
        <v>43</v>
      </c>
      <c r="C36" s="154" t="s">
        <v>1507</v>
      </c>
      <c r="D36" s="138"/>
      <c r="E36" s="168"/>
      <c r="F36" s="137"/>
      <c r="G36" s="137" t="s">
        <v>101</v>
      </c>
      <c r="I36" s="116">
        <f t="shared" si="6"/>
        <v>1</v>
      </c>
      <c r="J36" s="116">
        <f t="shared" si="7"/>
        <v>0</v>
      </c>
      <c r="K36" s="116">
        <f t="shared" si="8"/>
        <v>0</v>
      </c>
      <c r="L36" s="115">
        <v>1</v>
      </c>
    </row>
    <row r="37" spans="1:12" ht="30" customHeight="1" x14ac:dyDescent="0.3">
      <c r="A37" s="163" t="str">
        <f>IF(L37=1,"VCIN-"&amp;TEXT(COUNTIF($L$3:L37, "1"), "0"), "")</f>
        <v>VCIN-31</v>
      </c>
      <c r="B37" s="133" t="s">
        <v>43</v>
      </c>
      <c r="C37" s="154" t="s">
        <v>1508</v>
      </c>
      <c r="D37" s="138"/>
      <c r="E37" s="168"/>
      <c r="F37" s="137"/>
      <c r="G37" s="137" t="s">
        <v>101</v>
      </c>
      <c r="I37" s="116">
        <f t="shared" si="6"/>
        <v>1</v>
      </c>
      <c r="J37" s="116">
        <f t="shared" si="7"/>
        <v>0</v>
      </c>
      <c r="K37" s="116">
        <f t="shared" si="8"/>
        <v>0</v>
      </c>
      <c r="L37" s="115">
        <v>1</v>
      </c>
    </row>
    <row r="38" spans="1:12" ht="30" customHeight="1" x14ac:dyDescent="0.3">
      <c r="A38" s="163" t="str">
        <f>IF(L38=1,"VCIN-"&amp;TEXT(COUNTIF($L$3:L38, "1"), "0"), "")</f>
        <v>VCIN-32</v>
      </c>
      <c r="B38" s="133" t="s">
        <v>43</v>
      </c>
      <c r="C38" s="154" t="s">
        <v>1509</v>
      </c>
      <c r="D38" s="138"/>
      <c r="E38" s="168"/>
      <c r="F38" s="137"/>
      <c r="G38" s="137" t="s">
        <v>101</v>
      </c>
      <c r="I38" s="116">
        <f t="shared" si="6"/>
        <v>1</v>
      </c>
      <c r="J38" s="116">
        <f t="shared" si="7"/>
        <v>0</v>
      </c>
      <c r="K38" s="116">
        <f t="shared" si="8"/>
        <v>0</v>
      </c>
      <c r="L38" s="115">
        <v>1</v>
      </c>
    </row>
    <row r="39" spans="1:12" ht="30" customHeight="1" x14ac:dyDescent="0.3">
      <c r="A39" s="163" t="str">
        <f>IF(L39=1,"VCIN-"&amp;TEXT(COUNTIF($L$3:L39, "1"), "0"), "")</f>
        <v>VCIN-33</v>
      </c>
      <c r="B39" s="133" t="s">
        <v>43</v>
      </c>
      <c r="C39" s="154" t="s">
        <v>1510</v>
      </c>
      <c r="D39" s="138"/>
      <c r="E39" s="168"/>
      <c r="F39" s="137"/>
      <c r="G39" s="137" t="s">
        <v>101</v>
      </c>
      <c r="I39" s="116">
        <f t="shared" si="6"/>
        <v>1</v>
      </c>
      <c r="J39" s="116">
        <f t="shared" si="7"/>
        <v>0</v>
      </c>
      <c r="K39" s="116">
        <f t="shared" si="8"/>
        <v>0</v>
      </c>
      <c r="L39" s="115">
        <v>1</v>
      </c>
    </row>
    <row r="40" spans="1:12" ht="30" customHeight="1" x14ac:dyDescent="0.3">
      <c r="A40" s="163" t="str">
        <f>IF(L40=1,"VCIN-"&amp;TEXT(COUNTIF($L$3:L40, "1"), "0"), "")</f>
        <v>VCIN-34</v>
      </c>
      <c r="B40" s="133" t="s">
        <v>43</v>
      </c>
      <c r="C40" s="154" t="s">
        <v>1511</v>
      </c>
      <c r="D40" s="138"/>
      <c r="E40" s="168"/>
      <c r="F40" s="137"/>
      <c r="G40" s="137" t="s">
        <v>101</v>
      </c>
      <c r="I40" s="116">
        <f t="shared" si="6"/>
        <v>1</v>
      </c>
      <c r="J40" s="116">
        <f t="shared" si="7"/>
        <v>0</v>
      </c>
      <c r="K40" s="116">
        <f t="shared" si="8"/>
        <v>0</v>
      </c>
      <c r="L40" s="115">
        <v>1</v>
      </c>
    </row>
    <row r="41" spans="1:12" ht="30" customHeight="1" x14ac:dyDescent="0.3">
      <c r="A41" s="163" t="str">
        <f>IF(L41=1,"VCIN-"&amp;TEXT(COUNTIF($L$3:L41, "1"), "0"), "")</f>
        <v>VCIN-35</v>
      </c>
      <c r="B41" s="133" t="s">
        <v>43</v>
      </c>
      <c r="C41" s="154" t="s">
        <v>1512</v>
      </c>
      <c r="D41" s="138"/>
      <c r="E41" s="168"/>
      <c r="F41" s="137"/>
      <c r="G41" s="137" t="s">
        <v>101</v>
      </c>
      <c r="I41" s="116">
        <f t="shared" si="6"/>
        <v>1</v>
      </c>
      <c r="J41" s="116">
        <f t="shared" si="7"/>
        <v>0</v>
      </c>
      <c r="K41" s="116">
        <f t="shared" si="8"/>
        <v>0</v>
      </c>
      <c r="L41" s="115">
        <v>1</v>
      </c>
    </row>
    <row r="42" spans="1:12" ht="30" customHeight="1" x14ac:dyDescent="0.3">
      <c r="A42" s="163" t="str">
        <f>IF(L42=1,"VCIN-"&amp;TEXT(COUNTIF($L$3:L42, "1"), "0"), "")</f>
        <v>VCIN-36</v>
      </c>
      <c r="B42" s="133" t="s">
        <v>43</v>
      </c>
      <c r="C42" s="154" t="s">
        <v>1513</v>
      </c>
      <c r="D42" s="138"/>
      <c r="E42" s="168"/>
      <c r="F42" s="137"/>
      <c r="G42" s="137" t="s">
        <v>101</v>
      </c>
      <c r="I42" s="116">
        <f t="shared" si="6"/>
        <v>1</v>
      </c>
      <c r="J42" s="116">
        <f t="shared" si="7"/>
        <v>0</v>
      </c>
      <c r="K42" s="116">
        <f t="shared" si="8"/>
        <v>0</v>
      </c>
      <c r="L42" s="115">
        <v>1</v>
      </c>
    </row>
    <row r="43" spans="1:12" ht="30" customHeight="1" x14ac:dyDescent="0.3">
      <c r="A43" s="163" t="str">
        <f>IF(L43=1,"VCIN-"&amp;TEXT(COUNTIF($L$3:L43, "1"), "0"), "")</f>
        <v>VCIN-37</v>
      </c>
      <c r="B43" s="133" t="s">
        <v>43</v>
      </c>
      <c r="C43" s="154" t="s">
        <v>1514</v>
      </c>
      <c r="D43" s="138"/>
      <c r="E43" s="168"/>
      <c r="F43" s="137"/>
      <c r="G43" s="137" t="s">
        <v>101</v>
      </c>
      <c r="I43" s="116">
        <f t="shared" si="6"/>
        <v>1</v>
      </c>
      <c r="J43" s="116">
        <f t="shared" si="7"/>
        <v>0</v>
      </c>
      <c r="K43" s="116">
        <f t="shared" si="8"/>
        <v>0</v>
      </c>
      <c r="L43" s="115">
        <v>1</v>
      </c>
    </row>
    <row r="44" spans="1:12" ht="30" customHeight="1" x14ac:dyDescent="0.3">
      <c r="A44" s="163" t="str">
        <f>IF(L44=1,"VCIN-"&amp;TEXT(COUNTIF($L$3:L44, "1"), "0"), "")</f>
        <v>VCIN-38</v>
      </c>
      <c r="B44" s="133" t="s">
        <v>43</v>
      </c>
      <c r="C44" s="154" t="s">
        <v>1515</v>
      </c>
      <c r="D44" s="138"/>
      <c r="E44" s="168"/>
      <c r="F44" s="137"/>
      <c r="G44" s="137" t="s">
        <v>101</v>
      </c>
      <c r="I44" s="116">
        <f t="shared" si="6"/>
        <v>1</v>
      </c>
      <c r="J44" s="116">
        <f t="shared" si="7"/>
        <v>0</v>
      </c>
      <c r="K44" s="116">
        <f t="shared" si="8"/>
        <v>0</v>
      </c>
      <c r="L44" s="115">
        <v>1</v>
      </c>
    </row>
    <row r="45" spans="1:12" ht="30" customHeight="1" x14ac:dyDescent="0.3">
      <c r="A45" s="163" t="str">
        <f>IF(L45=1,"VCIN-"&amp;TEXT(COUNTIF($L$3:L45, "1"), "0"), "")</f>
        <v>VCIN-39</v>
      </c>
      <c r="B45" s="133" t="s">
        <v>43</v>
      </c>
      <c r="C45" s="154" t="s">
        <v>1516</v>
      </c>
      <c r="D45" s="138"/>
      <c r="E45" s="168"/>
      <c r="F45" s="137"/>
      <c r="G45" s="137" t="s">
        <v>101</v>
      </c>
      <c r="I45" s="116">
        <f t="shared" si="6"/>
        <v>1</v>
      </c>
      <c r="J45" s="116">
        <f t="shared" si="7"/>
        <v>0</v>
      </c>
      <c r="K45" s="116">
        <f t="shared" si="8"/>
        <v>0</v>
      </c>
      <c r="L45" s="115">
        <v>1</v>
      </c>
    </row>
    <row r="46" spans="1:12" ht="30" customHeight="1" x14ac:dyDescent="0.3">
      <c r="A46" s="163" t="str">
        <f>IF(L46=1,"VCIN-"&amp;TEXT(COUNTIF($L$3:L46, "1"), "0"), "")</f>
        <v>VCIN-40</v>
      </c>
      <c r="B46" s="133" t="s">
        <v>43</v>
      </c>
      <c r="C46" s="154" t="s">
        <v>1517</v>
      </c>
      <c r="D46" s="138"/>
      <c r="E46" s="168"/>
      <c r="F46" s="137"/>
      <c r="G46" s="137" t="s">
        <v>101</v>
      </c>
      <c r="I46" s="116">
        <f t="shared" si="6"/>
        <v>1</v>
      </c>
      <c r="J46" s="116">
        <f t="shared" si="7"/>
        <v>0</v>
      </c>
      <c r="K46" s="116">
        <f t="shared" si="8"/>
        <v>0</v>
      </c>
      <c r="L46" s="115">
        <v>1</v>
      </c>
    </row>
    <row r="47" spans="1:12" ht="30" customHeight="1" x14ac:dyDescent="0.3">
      <c r="A47" s="163" t="str">
        <f>IF(L47=1,"VCIN-"&amp;TEXT(COUNTIF($L$3:L47, "1"), "0"), "")</f>
        <v>VCIN-41</v>
      </c>
      <c r="B47" s="133" t="s">
        <v>43</v>
      </c>
      <c r="C47" s="154" t="s">
        <v>1518</v>
      </c>
      <c r="D47" s="138"/>
      <c r="E47" s="168"/>
      <c r="F47" s="137"/>
      <c r="G47" s="137" t="s">
        <v>101</v>
      </c>
      <c r="I47" s="116">
        <f t="shared" si="6"/>
        <v>1</v>
      </c>
      <c r="J47" s="116">
        <f t="shared" si="7"/>
        <v>0</v>
      </c>
      <c r="K47" s="116">
        <f t="shared" si="8"/>
        <v>0</v>
      </c>
      <c r="L47" s="115">
        <v>1</v>
      </c>
    </row>
    <row r="48" spans="1:12" ht="30" customHeight="1" x14ac:dyDescent="0.3">
      <c r="A48" s="163" t="str">
        <f>IF(L48=1,"VCIN-"&amp;TEXT(COUNTIF($L$3:L48, "1"), "0"), "")</f>
        <v>VCIN-42</v>
      </c>
      <c r="B48" s="133" t="s">
        <v>43</v>
      </c>
      <c r="C48" s="164" t="s">
        <v>1519</v>
      </c>
      <c r="D48" s="138"/>
      <c r="E48" s="168"/>
      <c r="F48" s="137"/>
      <c r="G48" s="137" t="s">
        <v>101</v>
      </c>
      <c r="I48" s="116">
        <f t="shared" si="6"/>
        <v>1</v>
      </c>
      <c r="J48" s="116">
        <f t="shared" si="7"/>
        <v>0</v>
      </c>
      <c r="K48" s="116">
        <f t="shared" si="8"/>
        <v>0</v>
      </c>
      <c r="L48" s="115">
        <v>1</v>
      </c>
    </row>
    <row r="49" spans="1:12" ht="30" customHeight="1" x14ac:dyDescent="0.3">
      <c r="A49" s="163" t="str">
        <f>IF(L49=1,"VCIN-"&amp;TEXT(COUNTIF($L$3:L49, "1"), "0"), "")</f>
        <v>VCIN-43</v>
      </c>
      <c r="B49" s="133" t="s">
        <v>43</v>
      </c>
      <c r="C49" s="154" t="s">
        <v>1520</v>
      </c>
      <c r="D49" s="138"/>
      <c r="E49" s="168"/>
      <c r="F49" s="137"/>
      <c r="G49" s="137" t="s">
        <v>101</v>
      </c>
      <c r="I49" s="116">
        <f t="shared" si="6"/>
        <v>1</v>
      </c>
      <c r="J49" s="116">
        <f t="shared" si="7"/>
        <v>0</v>
      </c>
      <c r="K49" s="116">
        <f t="shared" si="8"/>
        <v>0</v>
      </c>
      <c r="L49" s="115">
        <v>1</v>
      </c>
    </row>
    <row r="50" spans="1:12" ht="30" customHeight="1" x14ac:dyDescent="0.3">
      <c r="A50" s="163" t="str">
        <f>IF(L50=1,"VCIN-"&amp;TEXT(COUNTIF($L$3:L50, "1"), "0"), "")</f>
        <v>VCIN-44</v>
      </c>
      <c r="B50" s="133" t="s">
        <v>43</v>
      </c>
      <c r="C50" s="154" t="s">
        <v>1521</v>
      </c>
      <c r="D50" s="138"/>
      <c r="E50" s="168"/>
      <c r="F50" s="137"/>
      <c r="G50" s="137" t="s">
        <v>101</v>
      </c>
      <c r="I50" s="116">
        <f t="shared" si="6"/>
        <v>1</v>
      </c>
      <c r="J50" s="116">
        <f t="shared" si="7"/>
        <v>0</v>
      </c>
      <c r="K50" s="116">
        <f t="shared" si="8"/>
        <v>0</v>
      </c>
      <c r="L50" s="115">
        <v>1</v>
      </c>
    </row>
    <row r="51" spans="1:12" ht="30" customHeight="1" x14ac:dyDescent="0.3">
      <c r="A51" s="163" t="str">
        <f>IF(L51=1,"VCIN-"&amp;TEXT(COUNTIF($L$3:L51, "1"), "0"), "")</f>
        <v>VCIN-45</v>
      </c>
      <c r="B51" s="133" t="s">
        <v>43</v>
      </c>
      <c r="C51" s="154" t="s">
        <v>1522</v>
      </c>
      <c r="D51" s="138"/>
      <c r="E51" s="168"/>
      <c r="F51" s="137"/>
      <c r="G51" s="137" t="s">
        <v>101</v>
      </c>
      <c r="I51" s="116">
        <f t="shared" si="6"/>
        <v>1</v>
      </c>
      <c r="J51" s="116">
        <f t="shared" si="7"/>
        <v>0</v>
      </c>
      <c r="K51" s="116">
        <f t="shared" si="8"/>
        <v>0</v>
      </c>
      <c r="L51" s="115">
        <v>1</v>
      </c>
    </row>
    <row r="52" spans="1:12" ht="30" customHeight="1" x14ac:dyDescent="0.3">
      <c r="A52" s="163" t="str">
        <f>IF(L52=1,"VCIN-"&amp;TEXT(COUNTIF($L$3:L52, "1"), "0"), "")</f>
        <v>VCIN-46</v>
      </c>
      <c r="B52" s="133" t="s">
        <v>43</v>
      </c>
      <c r="C52" s="154" t="s">
        <v>1523</v>
      </c>
      <c r="D52" s="138"/>
      <c r="E52" s="168"/>
      <c r="F52" s="137"/>
      <c r="G52" s="137" t="s">
        <v>101</v>
      </c>
      <c r="I52" s="116">
        <f t="shared" si="6"/>
        <v>1</v>
      </c>
      <c r="J52" s="116">
        <f t="shared" si="7"/>
        <v>0</v>
      </c>
      <c r="K52" s="116">
        <f t="shared" si="8"/>
        <v>0</v>
      </c>
      <c r="L52" s="115">
        <v>1</v>
      </c>
    </row>
    <row r="53" spans="1:12" ht="30" customHeight="1" x14ac:dyDescent="0.3">
      <c r="A53" s="163" t="str">
        <f>IF(L53=1,"VCIN-"&amp;TEXT(COUNTIF($L$3:L53, "1"), "0"), "")</f>
        <v>VCIN-47</v>
      </c>
      <c r="B53" s="133" t="s">
        <v>43</v>
      </c>
      <c r="C53" s="154" t="s">
        <v>1524</v>
      </c>
      <c r="D53" s="138"/>
      <c r="E53" s="168"/>
      <c r="F53" s="137"/>
      <c r="G53" s="137" t="s">
        <v>101</v>
      </c>
      <c r="I53" s="116">
        <f t="shared" si="6"/>
        <v>1</v>
      </c>
      <c r="J53" s="116">
        <f t="shared" si="7"/>
        <v>0</v>
      </c>
      <c r="K53" s="116">
        <f t="shared" si="8"/>
        <v>0</v>
      </c>
      <c r="L53" s="115">
        <v>1</v>
      </c>
    </row>
    <row r="54" spans="1:12" ht="30" customHeight="1" x14ac:dyDescent="0.3">
      <c r="A54" s="163" t="str">
        <f>IF(L54=1,"VCIN-"&amp;TEXT(COUNTIF($L$3:L54, "1"), "0"), "")</f>
        <v>VCIN-48</v>
      </c>
      <c r="B54" s="133" t="s">
        <v>43</v>
      </c>
      <c r="C54" s="164" t="s">
        <v>1525</v>
      </c>
      <c r="D54" s="138"/>
      <c r="E54" s="168"/>
      <c r="F54" s="137"/>
      <c r="G54" s="137" t="s">
        <v>101</v>
      </c>
      <c r="I54" s="116">
        <f t="shared" si="6"/>
        <v>1</v>
      </c>
      <c r="J54" s="116">
        <f t="shared" si="7"/>
        <v>0</v>
      </c>
      <c r="K54" s="116">
        <f t="shared" si="8"/>
        <v>0</v>
      </c>
      <c r="L54" s="115">
        <v>1</v>
      </c>
    </row>
    <row r="55" spans="1:12" ht="30" customHeight="1" x14ac:dyDescent="0.3">
      <c r="A55" s="163" t="str">
        <f>IF(L55=1,"VCIN-"&amp;TEXT(COUNTIF($L$3:L55, "1"), "0"), "")</f>
        <v>VCIN-49</v>
      </c>
      <c r="B55" s="133" t="s">
        <v>43</v>
      </c>
      <c r="C55" s="164" t="s">
        <v>1526</v>
      </c>
      <c r="D55" s="138"/>
      <c r="E55" s="168"/>
      <c r="F55" s="137"/>
      <c r="G55" s="137" t="s">
        <v>101</v>
      </c>
      <c r="I55" s="116">
        <f t="shared" si="6"/>
        <v>1</v>
      </c>
      <c r="J55" s="116">
        <f t="shared" si="7"/>
        <v>0</v>
      </c>
      <c r="K55" s="116">
        <f t="shared" si="8"/>
        <v>0</v>
      </c>
      <c r="L55" s="115">
        <v>1</v>
      </c>
    </row>
    <row r="56" spans="1:12" ht="30" customHeight="1" x14ac:dyDescent="0.3">
      <c r="A56" s="163" t="str">
        <f>IF(L56=1,"VCIN-"&amp;TEXT(COUNTIF($L$3:L56, "1"), "0"), "")</f>
        <v>VCIN-50</v>
      </c>
      <c r="B56" s="133" t="s">
        <v>43</v>
      </c>
      <c r="C56" s="164" t="s">
        <v>1527</v>
      </c>
      <c r="D56" s="138"/>
      <c r="E56" s="168"/>
      <c r="F56" s="137"/>
      <c r="G56" s="137" t="s">
        <v>101</v>
      </c>
      <c r="I56" s="116">
        <f t="shared" si="6"/>
        <v>1</v>
      </c>
      <c r="J56" s="116">
        <f t="shared" si="7"/>
        <v>0</v>
      </c>
      <c r="K56" s="116">
        <f t="shared" si="8"/>
        <v>0</v>
      </c>
      <c r="L56" s="115">
        <v>1</v>
      </c>
    </row>
    <row r="57" spans="1:12" ht="35.25" customHeight="1" x14ac:dyDescent="0.3">
      <c r="A57" s="316"/>
      <c r="B57" s="126"/>
      <c r="C57" s="178" t="s">
        <v>1528</v>
      </c>
      <c r="D57" s="194"/>
      <c r="E57" s="180"/>
      <c r="F57" s="181"/>
      <c r="G57" s="606"/>
    </row>
    <row r="58" spans="1:12" ht="30" customHeight="1" x14ac:dyDescent="0.3">
      <c r="A58" s="163" t="str">
        <f>IF(L58=1,"VCIN-"&amp;TEXT(COUNTIF($L$3:L58, "1"), "0"), "")</f>
        <v>VCIN-51</v>
      </c>
      <c r="B58" s="183" t="s">
        <v>43</v>
      </c>
      <c r="C58" s="320" t="s">
        <v>1529</v>
      </c>
      <c r="D58" s="185"/>
      <c r="E58" s="186"/>
      <c r="F58" s="187"/>
      <c r="G58" s="249" t="s">
        <v>101</v>
      </c>
      <c r="I58" s="116">
        <f t="shared" ref="I58:I81" si="9">IF(NOT(ISBLANK($B58)),VLOOKUP($B58,specdata,2,FALSE()),"")</f>
        <v>1</v>
      </c>
      <c r="J58" s="116">
        <f t="shared" ref="J58:J81" si="10">VLOOKUP(G58,AvailabilityData,2,FALSE())</f>
        <v>0</v>
      </c>
      <c r="K58" s="116">
        <f t="shared" ref="K58:K81" si="11">I58*J58</f>
        <v>0</v>
      </c>
      <c r="L58" s="115">
        <v>1</v>
      </c>
    </row>
    <row r="59" spans="1:12" ht="30" customHeight="1" x14ac:dyDescent="0.3">
      <c r="A59" s="163" t="str">
        <f>IF(L59=1,"VCIN-"&amp;TEXT(COUNTIF($L$3:L59, "1"), "0"), "")</f>
        <v>VCIN-52</v>
      </c>
      <c r="B59" s="183" t="s">
        <v>43</v>
      </c>
      <c r="C59" s="320" t="s">
        <v>1530</v>
      </c>
      <c r="D59" s="185"/>
      <c r="E59" s="186"/>
      <c r="F59" s="191"/>
      <c r="G59" s="137" t="s">
        <v>101</v>
      </c>
      <c r="I59" s="116">
        <f t="shared" si="9"/>
        <v>1</v>
      </c>
      <c r="J59" s="116">
        <f t="shared" si="10"/>
        <v>0</v>
      </c>
      <c r="K59" s="116">
        <f t="shared" si="11"/>
        <v>0</v>
      </c>
      <c r="L59" s="115">
        <v>1</v>
      </c>
    </row>
    <row r="60" spans="1:12" ht="30" customHeight="1" x14ac:dyDescent="0.3">
      <c r="A60" s="163" t="str">
        <f>IF(L60=1,"VCIN-"&amp;TEXT(COUNTIF($L$3:L60, "1"), "0"), "")</f>
        <v>VCIN-53</v>
      </c>
      <c r="B60" s="183" t="s">
        <v>43</v>
      </c>
      <c r="C60" s="149" t="s">
        <v>1531</v>
      </c>
      <c r="D60" s="185"/>
      <c r="E60" s="186"/>
      <c r="F60" s="166"/>
      <c r="G60" s="137" t="s">
        <v>101</v>
      </c>
      <c r="I60" s="116">
        <f t="shared" si="9"/>
        <v>1</v>
      </c>
      <c r="J60" s="116">
        <f t="shared" si="10"/>
        <v>0</v>
      </c>
      <c r="K60" s="116">
        <f t="shared" si="11"/>
        <v>0</v>
      </c>
      <c r="L60" s="115">
        <v>1</v>
      </c>
    </row>
    <row r="61" spans="1:12" ht="30" customHeight="1" x14ac:dyDescent="0.3">
      <c r="A61" s="163" t="str">
        <f>IF(L61=1,"VCIN-"&amp;TEXT(COUNTIF($L$3:L61, "1"), "0"), "")</f>
        <v>VCIN-54</v>
      </c>
      <c r="B61" s="183" t="s">
        <v>43</v>
      </c>
      <c r="C61" s="149" t="s">
        <v>1532</v>
      </c>
      <c r="D61" s="185"/>
      <c r="E61" s="186"/>
      <c r="F61" s="166"/>
      <c r="G61" s="137" t="s">
        <v>101</v>
      </c>
      <c r="I61" s="116">
        <f t="shared" si="9"/>
        <v>1</v>
      </c>
      <c r="J61" s="116">
        <f t="shared" si="10"/>
        <v>0</v>
      </c>
      <c r="K61" s="116">
        <f t="shared" si="11"/>
        <v>0</v>
      </c>
      <c r="L61" s="115">
        <v>1</v>
      </c>
    </row>
    <row r="62" spans="1:12" ht="30" customHeight="1" x14ac:dyDescent="0.3">
      <c r="A62" s="163" t="str">
        <f>IF(L62=1,"VCIN-"&amp;TEXT(COUNTIF($L$3:L62, "1"), "0"), "")</f>
        <v>VCIN-55</v>
      </c>
      <c r="B62" s="183" t="s">
        <v>43</v>
      </c>
      <c r="C62" s="149" t="s">
        <v>1533</v>
      </c>
      <c r="D62" s="185"/>
      <c r="E62" s="186"/>
      <c r="F62" s="166"/>
      <c r="G62" s="137" t="s">
        <v>101</v>
      </c>
      <c r="I62" s="116">
        <f t="shared" si="9"/>
        <v>1</v>
      </c>
      <c r="J62" s="116">
        <f t="shared" si="10"/>
        <v>0</v>
      </c>
      <c r="K62" s="116">
        <f t="shared" si="11"/>
        <v>0</v>
      </c>
      <c r="L62" s="115">
        <v>1</v>
      </c>
    </row>
    <row r="63" spans="1:12" ht="30" customHeight="1" x14ac:dyDescent="0.3">
      <c r="A63" s="163" t="str">
        <f>IF(L63=1,"VCIN-"&amp;TEXT(COUNTIF($L$3:L63, "1"), "0"), "")</f>
        <v>VCIN-56</v>
      </c>
      <c r="B63" s="183" t="s">
        <v>43</v>
      </c>
      <c r="C63" s="149" t="s">
        <v>1534</v>
      </c>
      <c r="D63" s="185"/>
      <c r="E63" s="186"/>
      <c r="F63" s="166"/>
      <c r="G63" s="137" t="s">
        <v>101</v>
      </c>
      <c r="I63" s="116">
        <f t="shared" si="9"/>
        <v>1</v>
      </c>
      <c r="J63" s="116">
        <f t="shared" si="10"/>
        <v>0</v>
      </c>
      <c r="K63" s="116">
        <f t="shared" si="11"/>
        <v>0</v>
      </c>
      <c r="L63" s="115">
        <v>1</v>
      </c>
    </row>
    <row r="64" spans="1:12" ht="30" customHeight="1" x14ac:dyDescent="0.3">
      <c r="A64" s="163" t="str">
        <f>IF(L64=1,"VCIN-"&amp;TEXT(COUNTIF($L$3:L64, "1"), "0"), "")</f>
        <v>VCIN-57</v>
      </c>
      <c r="B64" s="183" t="s">
        <v>43</v>
      </c>
      <c r="C64" s="149" t="s">
        <v>1535</v>
      </c>
      <c r="D64" s="185"/>
      <c r="E64" s="186"/>
      <c r="F64" s="166"/>
      <c r="G64" s="137" t="s">
        <v>101</v>
      </c>
      <c r="I64" s="116">
        <f t="shared" si="9"/>
        <v>1</v>
      </c>
      <c r="J64" s="116">
        <f t="shared" si="10"/>
        <v>0</v>
      </c>
      <c r="K64" s="116">
        <f t="shared" si="11"/>
        <v>0</v>
      </c>
      <c r="L64" s="115">
        <v>1</v>
      </c>
    </row>
    <row r="65" spans="1:12" ht="30" customHeight="1" x14ac:dyDescent="0.3">
      <c r="A65" s="163" t="str">
        <f>IF(L65=1,"VCIN-"&amp;TEXT(COUNTIF($L$3:L65, "1"), "0"), "")</f>
        <v>VCIN-58</v>
      </c>
      <c r="B65" s="183" t="s">
        <v>43</v>
      </c>
      <c r="C65" s="149" t="s">
        <v>1536</v>
      </c>
      <c r="D65" s="185"/>
      <c r="E65" s="186"/>
      <c r="F65" s="166"/>
      <c r="G65" s="137" t="s">
        <v>101</v>
      </c>
      <c r="I65" s="116">
        <f t="shared" si="9"/>
        <v>1</v>
      </c>
      <c r="J65" s="116">
        <f t="shared" si="10"/>
        <v>0</v>
      </c>
      <c r="K65" s="116">
        <f t="shared" si="11"/>
        <v>0</v>
      </c>
      <c r="L65" s="115">
        <v>1</v>
      </c>
    </row>
    <row r="66" spans="1:12" ht="30" customHeight="1" x14ac:dyDescent="0.3">
      <c r="A66" s="163" t="str">
        <f>IF(L66=1,"VCIN-"&amp;TEXT(COUNTIF($L$3:L66, "1"), "0"), "")</f>
        <v>VCIN-59</v>
      </c>
      <c r="B66" s="183" t="s">
        <v>43</v>
      </c>
      <c r="C66" s="320" t="s">
        <v>1537</v>
      </c>
      <c r="D66" s="185"/>
      <c r="E66" s="186"/>
      <c r="F66" s="166"/>
      <c r="G66" s="137" t="s">
        <v>101</v>
      </c>
      <c r="I66" s="116">
        <f t="shared" si="9"/>
        <v>1</v>
      </c>
      <c r="J66" s="116">
        <f t="shared" si="10"/>
        <v>0</v>
      </c>
      <c r="K66" s="116">
        <f t="shared" si="11"/>
        <v>0</v>
      </c>
      <c r="L66" s="115">
        <v>1</v>
      </c>
    </row>
    <row r="67" spans="1:12" ht="30" customHeight="1" x14ac:dyDescent="0.3">
      <c r="A67" s="163" t="str">
        <f>IF(L67=1,"VCIN-"&amp;TEXT(COUNTIF($L$3:L67, "1"), "0"), "")</f>
        <v>VCIN-60</v>
      </c>
      <c r="B67" s="183" t="s">
        <v>43</v>
      </c>
      <c r="C67" s="149" t="s">
        <v>1538</v>
      </c>
      <c r="D67" s="185"/>
      <c r="E67" s="186"/>
      <c r="F67" s="166"/>
      <c r="G67" s="137" t="s">
        <v>101</v>
      </c>
      <c r="I67" s="116">
        <f t="shared" si="9"/>
        <v>1</v>
      </c>
      <c r="J67" s="116">
        <f t="shared" si="10"/>
        <v>0</v>
      </c>
      <c r="K67" s="116">
        <f t="shared" si="11"/>
        <v>0</v>
      </c>
      <c r="L67" s="115">
        <v>1</v>
      </c>
    </row>
    <row r="68" spans="1:12" ht="30" customHeight="1" x14ac:dyDescent="0.3">
      <c r="A68" s="163" t="str">
        <f>IF(L68=1,"VCIN-"&amp;TEXT(COUNTIF($L$3:L68, "1"), "0"), "")</f>
        <v>VCIN-61</v>
      </c>
      <c r="B68" s="183" t="s">
        <v>43</v>
      </c>
      <c r="C68" s="149" t="s">
        <v>1539</v>
      </c>
      <c r="D68" s="185"/>
      <c r="E68" s="168"/>
      <c r="F68" s="137"/>
      <c r="G68" s="137" t="s">
        <v>101</v>
      </c>
      <c r="I68" s="116">
        <f t="shared" si="9"/>
        <v>1</v>
      </c>
      <c r="J68" s="116">
        <f t="shared" si="10"/>
        <v>0</v>
      </c>
      <c r="K68" s="116">
        <f t="shared" si="11"/>
        <v>0</v>
      </c>
      <c r="L68" s="115">
        <v>1</v>
      </c>
    </row>
    <row r="69" spans="1:12" ht="30" customHeight="1" x14ac:dyDescent="0.3">
      <c r="A69" s="163" t="str">
        <f>IF(L69=1,"VCIN-"&amp;TEXT(COUNTIF($L$3:L69, "1"), "0"), "")</f>
        <v>VCIN-62</v>
      </c>
      <c r="B69" s="183" t="s">
        <v>43</v>
      </c>
      <c r="C69" s="149" t="s">
        <v>1540</v>
      </c>
      <c r="D69" s="185"/>
      <c r="E69" s="168"/>
      <c r="F69" s="137"/>
      <c r="G69" s="137" t="s">
        <v>101</v>
      </c>
      <c r="I69" s="116">
        <f t="shared" si="9"/>
        <v>1</v>
      </c>
      <c r="J69" s="116">
        <f t="shared" si="10"/>
        <v>0</v>
      </c>
      <c r="K69" s="116">
        <f t="shared" si="11"/>
        <v>0</v>
      </c>
      <c r="L69" s="115">
        <v>1</v>
      </c>
    </row>
    <row r="70" spans="1:12" ht="30" customHeight="1" x14ac:dyDescent="0.3">
      <c r="A70" s="163" t="str">
        <f>IF(L70=1,"VCIN-"&amp;TEXT(COUNTIF($L$3:L70, "1"), "0"), "")</f>
        <v>VCIN-63</v>
      </c>
      <c r="B70" s="183" t="s">
        <v>43</v>
      </c>
      <c r="C70" s="320" t="s">
        <v>1541</v>
      </c>
      <c r="D70" s="185"/>
      <c r="E70" s="186"/>
      <c r="F70" s="166"/>
      <c r="G70" s="137" t="s">
        <v>101</v>
      </c>
      <c r="I70" s="116">
        <f t="shared" si="9"/>
        <v>1</v>
      </c>
      <c r="J70" s="116">
        <f t="shared" si="10"/>
        <v>0</v>
      </c>
      <c r="K70" s="116">
        <f t="shared" si="11"/>
        <v>0</v>
      </c>
      <c r="L70" s="115">
        <v>1</v>
      </c>
    </row>
    <row r="71" spans="1:12" ht="30" customHeight="1" x14ac:dyDescent="0.3">
      <c r="A71" s="163" t="str">
        <f>IF(L71=1,"VCIN-"&amp;TEXT(COUNTIF($L$3:L71, "1"), "0"), "")</f>
        <v>VCIN-64</v>
      </c>
      <c r="B71" s="183" t="s">
        <v>43</v>
      </c>
      <c r="C71" s="149" t="s">
        <v>1542</v>
      </c>
      <c r="D71" s="185"/>
      <c r="E71" s="186"/>
      <c r="F71" s="166"/>
      <c r="G71" s="137" t="s">
        <v>101</v>
      </c>
      <c r="I71" s="116">
        <f t="shared" si="9"/>
        <v>1</v>
      </c>
      <c r="J71" s="116">
        <f t="shared" si="10"/>
        <v>0</v>
      </c>
      <c r="K71" s="116">
        <f t="shared" si="11"/>
        <v>0</v>
      </c>
      <c r="L71" s="115">
        <v>1</v>
      </c>
    </row>
    <row r="72" spans="1:12" ht="30" customHeight="1" x14ac:dyDescent="0.3">
      <c r="A72" s="163" t="str">
        <f>IF(L72=1,"VCIN-"&amp;TEXT(COUNTIF($L$3:L72, "1"), "0"), "")</f>
        <v>VCIN-65</v>
      </c>
      <c r="B72" s="183" t="s">
        <v>43</v>
      </c>
      <c r="C72" s="149" t="s">
        <v>1543</v>
      </c>
      <c r="D72" s="185"/>
      <c r="E72" s="186"/>
      <c r="F72" s="166"/>
      <c r="G72" s="137" t="s">
        <v>101</v>
      </c>
      <c r="I72" s="116">
        <f t="shared" si="9"/>
        <v>1</v>
      </c>
      <c r="J72" s="116">
        <f t="shared" si="10"/>
        <v>0</v>
      </c>
      <c r="K72" s="116">
        <f t="shared" si="11"/>
        <v>0</v>
      </c>
      <c r="L72" s="115">
        <v>1</v>
      </c>
    </row>
    <row r="73" spans="1:12" ht="30" customHeight="1" x14ac:dyDescent="0.3">
      <c r="A73" s="163" t="str">
        <f>IF(L73=1,"VCIN-"&amp;TEXT(COUNTIF($L$3:L73, "1"), "0"), "")</f>
        <v>VCIN-66</v>
      </c>
      <c r="B73" s="183" t="s">
        <v>43</v>
      </c>
      <c r="C73" s="149" t="s">
        <v>1544</v>
      </c>
      <c r="D73" s="185"/>
      <c r="E73" s="186"/>
      <c r="F73" s="166"/>
      <c r="G73" s="137" t="s">
        <v>101</v>
      </c>
      <c r="I73" s="116">
        <f t="shared" si="9"/>
        <v>1</v>
      </c>
      <c r="J73" s="116">
        <f t="shared" si="10"/>
        <v>0</v>
      </c>
      <c r="K73" s="116">
        <f t="shared" si="11"/>
        <v>0</v>
      </c>
      <c r="L73" s="115">
        <v>1</v>
      </c>
    </row>
    <row r="74" spans="1:12" ht="30" customHeight="1" x14ac:dyDescent="0.3">
      <c r="A74" s="163" t="str">
        <f>IF(L74=1,"VCIN-"&amp;TEXT(COUNTIF($L$3:L74, "1"), "0"), "")</f>
        <v>VCIN-67</v>
      </c>
      <c r="B74" s="183" t="s">
        <v>43</v>
      </c>
      <c r="C74" s="149" t="s">
        <v>1545</v>
      </c>
      <c r="D74" s="185"/>
      <c r="E74" s="186"/>
      <c r="F74" s="166"/>
      <c r="G74" s="137" t="s">
        <v>101</v>
      </c>
      <c r="I74" s="116">
        <f t="shared" si="9"/>
        <v>1</v>
      </c>
      <c r="J74" s="116">
        <f t="shared" si="10"/>
        <v>0</v>
      </c>
      <c r="K74" s="116">
        <f t="shared" si="11"/>
        <v>0</v>
      </c>
      <c r="L74" s="115">
        <v>1</v>
      </c>
    </row>
    <row r="75" spans="1:12" ht="30" customHeight="1" x14ac:dyDescent="0.3">
      <c r="A75" s="163" t="str">
        <f>IF(L75=1,"VCIN-"&amp;TEXT(COUNTIF($L$3:L75, "1"), "0"), "")</f>
        <v>VCIN-68</v>
      </c>
      <c r="B75" s="183" t="s">
        <v>43</v>
      </c>
      <c r="C75" s="149" t="s">
        <v>1546</v>
      </c>
      <c r="D75" s="185"/>
      <c r="E75" s="186"/>
      <c r="F75" s="166"/>
      <c r="G75" s="137" t="s">
        <v>101</v>
      </c>
      <c r="I75" s="116">
        <f t="shared" si="9"/>
        <v>1</v>
      </c>
      <c r="J75" s="116">
        <f t="shared" si="10"/>
        <v>0</v>
      </c>
      <c r="K75" s="116">
        <f t="shared" si="11"/>
        <v>0</v>
      </c>
      <c r="L75" s="115">
        <v>1</v>
      </c>
    </row>
    <row r="76" spans="1:12" ht="30" customHeight="1" x14ac:dyDescent="0.3">
      <c r="A76" s="163" t="str">
        <f>IF(L76=1,"VCIN-"&amp;TEXT(COUNTIF($L$3:L76, "1"), "0"), "")</f>
        <v>VCIN-69</v>
      </c>
      <c r="B76" s="183" t="s">
        <v>43</v>
      </c>
      <c r="C76" s="149" t="s">
        <v>1547</v>
      </c>
      <c r="D76" s="185"/>
      <c r="E76" s="186"/>
      <c r="F76" s="166"/>
      <c r="G76" s="137" t="s">
        <v>101</v>
      </c>
      <c r="I76" s="116">
        <f t="shared" si="9"/>
        <v>1</v>
      </c>
      <c r="J76" s="116">
        <f t="shared" si="10"/>
        <v>0</v>
      </c>
      <c r="K76" s="116">
        <f t="shared" si="11"/>
        <v>0</v>
      </c>
      <c r="L76" s="115">
        <v>1</v>
      </c>
    </row>
    <row r="77" spans="1:12" ht="30" customHeight="1" x14ac:dyDescent="0.3">
      <c r="A77" s="163" t="str">
        <f>IF(L77=1,"VCIN-"&amp;TEXT(COUNTIF($L$3:L77, "1"), "0"), "")</f>
        <v>VCIN-70</v>
      </c>
      <c r="B77" s="183" t="s">
        <v>43</v>
      </c>
      <c r="C77" s="149" t="s">
        <v>1548</v>
      </c>
      <c r="D77" s="185"/>
      <c r="E77" s="186"/>
      <c r="F77" s="166"/>
      <c r="G77" s="137" t="s">
        <v>101</v>
      </c>
      <c r="I77" s="116">
        <f t="shared" si="9"/>
        <v>1</v>
      </c>
      <c r="J77" s="116">
        <f t="shared" si="10"/>
        <v>0</v>
      </c>
      <c r="K77" s="116">
        <f t="shared" si="11"/>
        <v>0</v>
      </c>
      <c r="L77" s="115">
        <v>1</v>
      </c>
    </row>
    <row r="78" spans="1:12" ht="30" customHeight="1" x14ac:dyDescent="0.3">
      <c r="A78" s="163" t="str">
        <f>IF(L78=1,"VCIN-"&amp;TEXT(COUNTIF($L$3:L78, "1"), "0"), "")</f>
        <v>VCIN-71</v>
      </c>
      <c r="B78" s="183" t="s">
        <v>43</v>
      </c>
      <c r="C78" s="149" t="s">
        <v>1549</v>
      </c>
      <c r="D78" s="185"/>
      <c r="E78" s="186"/>
      <c r="F78" s="166"/>
      <c r="G78" s="137" t="s">
        <v>101</v>
      </c>
      <c r="I78" s="116">
        <f t="shared" si="9"/>
        <v>1</v>
      </c>
      <c r="J78" s="116">
        <f t="shared" si="10"/>
        <v>0</v>
      </c>
      <c r="K78" s="116">
        <f t="shared" si="11"/>
        <v>0</v>
      </c>
      <c r="L78" s="115">
        <v>1</v>
      </c>
    </row>
    <row r="79" spans="1:12" ht="30" customHeight="1" x14ac:dyDescent="0.3">
      <c r="A79" s="163" t="str">
        <f>IF(L79=1,"VCIN-"&amp;TEXT(COUNTIF($L$3:L79, "1"), "0"), "")</f>
        <v>VCIN-72</v>
      </c>
      <c r="B79" s="183" t="s">
        <v>43</v>
      </c>
      <c r="C79" s="149" t="s">
        <v>1550</v>
      </c>
      <c r="D79" s="185"/>
      <c r="E79" s="186"/>
      <c r="F79" s="166"/>
      <c r="G79" s="137" t="s">
        <v>101</v>
      </c>
      <c r="I79" s="116">
        <f t="shared" si="9"/>
        <v>1</v>
      </c>
      <c r="J79" s="116">
        <f t="shared" si="10"/>
        <v>0</v>
      </c>
      <c r="K79" s="116">
        <f t="shared" si="11"/>
        <v>0</v>
      </c>
      <c r="L79" s="115">
        <v>1</v>
      </c>
    </row>
    <row r="80" spans="1:12" ht="30" customHeight="1" x14ac:dyDescent="0.3">
      <c r="A80" s="163" t="str">
        <f>IF(L80=1,"VCIN-"&amp;TEXT(COUNTIF($L$3:L80, "1"), "0"), "")</f>
        <v>VCIN-73</v>
      </c>
      <c r="B80" s="183" t="s">
        <v>43</v>
      </c>
      <c r="C80" s="149" t="s">
        <v>1551</v>
      </c>
      <c r="D80" s="185"/>
      <c r="E80" s="186"/>
      <c r="F80" s="166"/>
      <c r="G80" s="137" t="s">
        <v>101</v>
      </c>
      <c r="I80" s="116">
        <f t="shared" si="9"/>
        <v>1</v>
      </c>
      <c r="J80" s="116">
        <f t="shared" si="10"/>
        <v>0</v>
      </c>
      <c r="K80" s="116">
        <f t="shared" si="11"/>
        <v>0</v>
      </c>
      <c r="L80" s="115">
        <v>1</v>
      </c>
    </row>
    <row r="81" spans="1:12" ht="30" customHeight="1" x14ac:dyDescent="0.3">
      <c r="A81" s="163" t="str">
        <f>IF(L81=1,"VCIN-"&amp;TEXT(COUNTIF($L$3:L81, "1"), "0"), "")</f>
        <v>VCIN-74</v>
      </c>
      <c r="B81" s="260" t="s">
        <v>43</v>
      </c>
      <c r="C81" s="322" t="s">
        <v>1552</v>
      </c>
      <c r="D81" s="192"/>
      <c r="E81" s="172"/>
      <c r="F81" s="173"/>
      <c r="G81" s="137" t="s">
        <v>101</v>
      </c>
      <c r="I81" s="116">
        <f t="shared" si="9"/>
        <v>1</v>
      </c>
      <c r="J81" s="116">
        <f t="shared" si="10"/>
        <v>0</v>
      </c>
      <c r="K81" s="116">
        <f t="shared" si="11"/>
        <v>0</v>
      </c>
      <c r="L81" s="115">
        <v>1</v>
      </c>
    </row>
    <row r="82" spans="1:12" ht="31.2" x14ac:dyDescent="0.3">
      <c r="A82" s="598"/>
      <c r="B82" s="126"/>
      <c r="C82" s="178" t="s">
        <v>1553</v>
      </c>
      <c r="D82" s="194"/>
      <c r="E82" s="180"/>
      <c r="F82" s="181"/>
      <c r="G82" s="606"/>
    </row>
    <row r="83" spans="1:12" ht="30" customHeight="1" x14ac:dyDescent="0.3">
      <c r="A83" s="163" t="str">
        <f>IF(L83=1,"VCIN-"&amp;TEXT(COUNTIF($L$3:L83, "1"), "0"), "")</f>
        <v>VCIN-75</v>
      </c>
      <c r="B83" s="183" t="s">
        <v>43</v>
      </c>
      <c r="C83" s="320" t="s">
        <v>1554</v>
      </c>
      <c r="D83" s="185"/>
      <c r="E83" s="186"/>
      <c r="F83" s="191"/>
      <c r="G83" s="187" t="s">
        <v>101</v>
      </c>
      <c r="I83" s="116">
        <f t="shared" ref="I83:I88" si="12">IF(NOT(ISBLANK($B83)),VLOOKUP($B83,specdata,2,FALSE()),"")</f>
        <v>1</v>
      </c>
      <c r="J83" s="116">
        <f t="shared" ref="J83:J88" si="13">VLOOKUP(G83,AvailabilityData,2,FALSE())</f>
        <v>0</v>
      </c>
      <c r="K83" s="116">
        <f t="shared" ref="K83:K88" si="14">I83*J83</f>
        <v>0</v>
      </c>
      <c r="L83" s="115">
        <v>1</v>
      </c>
    </row>
    <row r="84" spans="1:12" ht="30" customHeight="1" x14ac:dyDescent="0.3">
      <c r="A84" s="163" t="str">
        <f>IF(L84=1,"VCIN-"&amp;TEXT(COUNTIF($L$3:L84, "1"), "0"), "")</f>
        <v>VCIN-76</v>
      </c>
      <c r="B84" s="183" t="s">
        <v>43</v>
      </c>
      <c r="C84" s="149" t="s">
        <v>1555</v>
      </c>
      <c r="D84" s="185"/>
      <c r="E84" s="186"/>
      <c r="F84" s="166"/>
      <c r="G84" s="137" t="s">
        <v>101</v>
      </c>
      <c r="I84" s="116">
        <f t="shared" si="12"/>
        <v>1</v>
      </c>
      <c r="J84" s="116">
        <f t="shared" si="13"/>
        <v>0</v>
      </c>
      <c r="K84" s="116">
        <f t="shared" si="14"/>
        <v>0</v>
      </c>
      <c r="L84" s="115">
        <v>1</v>
      </c>
    </row>
    <row r="85" spans="1:12" ht="30" customHeight="1" x14ac:dyDescent="0.3">
      <c r="A85" s="163" t="str">
        <f>IF(L85=1,"VCIN-"&amp;TEXT(COUNTIF($L$3:L85, "1"), "0"), "")</f>
        <v>VCIN-77</v>
      </c>
      <c r="B85" s="183" t="s">
        <v>43</v>
      </c>
      <c r="C85" s="149" t="s">
        <v>1556</v>
      </c>
      <c r="D85" s="185"/>
      <c r="E85" s="186"/>
      <c r="F85" s="166"/>
      <c r="G85" s="137" t="s">
        <v>101</v>
      </c>
      <c r="I85" s="116">
        <f t="shared" si="12"/>
        <v>1</v>
      </c>
      <c r="J85" s="116">
        <f t="shared" si="13"/>
        <v>0</v>
      </c>
      <c r="K85" s="116">
        <f t="shared" si="14"/>
        <v>0</v>
      </c>
      <c r="L85" s="115">
        <v>1</v>
      </c>
    </row>
    <row r="86" spans="1:12" ht="30" customHeight="1" x14ac:dyDescent="0.3">
      <c r="A86" s="163" t="str">
        <f>IF(L86=1,"VCIN-"&amp;TEXT(COUNTIF($L$3:L86, "1"), "0"), "")</f>
        <v>VCIN-78</v>
      </c>
      <c r="B86" s="183" t="s">
        <v>43</v>
      </c>
      <c r="C86" s="149" t="s">
        <v>1557</v>
      </c>
      <c r="D86" s="185"/>
      <c r="E86" s="186"/>
      <c r="F86" s="166"/>
      <c r="G86" s="137" t="s">
        <v>101</v>
      </c>
      <c r="I86" s="116">
        <f t="shared" si="12"/>
        <v>1</v>
      </c>
      <c r="J86" s="116">
        <f t="shared" si="13"/>
        <v>0</v>
      </c>
      <c r="K86" s="116">
        <f t="shared" si="14"/>
        <v>0</v>
      </c>
      <c r="L86" s="115">
        <v>1</v>
      </c>
    </row>
    <row r="87" spans="1:12" ht="30" customHeight="1" x14ac:dyDescent="0.3">
      <c r="A87" s="163" t="str">
        <f>IF(L87=1,"VCIN-"&amp;TEXT(COUNTIF($L$3:L87, "1"), "0"), "")</f>
        <v>VCIN-79</v>
      </c>
      <c r="B87" s="133" t="s">
        <v>43</v>
      </c>
      <c r="C87" s="149" t="s">
        <v>1558</v>
      </c>
      <c r="D87" s="326"/>
      <c r="E87" s="186"/>
      <c r="F87" s="166"/>
      <c r="G87" s="137" t="s">
        <v>101</v>
      </c>
      <c r="I87" s="116">
        <f t="shared" si="12"/>
        <v>1</v>
      </c>
      <c r="J87" s="116">
        <f t="shared" si="13"/>
        <v>0</v>
      </c>
      <c r="K87" s="116">
        <f t="shared" si="14"/>
        <v>0</v>
      </c>
      <c r="L87" s="115">
        <v>1</v>
      </c>
    </row>
    <row r="88" spans="1:12" ht="30" customHeight="1" x14ac:dyDescent="0.3">
      <c r="A88" s="163" t="str">
        <f>IF(L88=1,"VCIN-"&amp;TEXT(COUNTIF($L$3:L88, "1"), "0"), "")</f>
        <v>VCIN-80</v>
      </c>
      <c r="B88" s="169" t="s">
        <v>43</v>
      </c>
      <c r="C88" s="322" t="s">
        <v>1559</v>
      </c>
      <c r="D88" s="327"/>
      <c r="E88" s="186"/>
      <c r="F88" s="166"/>
      <c r="G88" s="137" t="s">
        <v>101</v>
      </c>
      <c r="I88" s="116">
        <f t="shared" si="12"/>
        <v>1</v>
      </c>
      <c r="J88" s="116">
        <f t="shared" si="13"/>
        <v>0</v>
      </c>
      <c r="K88" s="116">
        <f t="shared" si="14"/>
        <v>0</v>
      </c>
      <c r="L88" s="115">
        <v>1</v>
      </c>
    </row>
    <row r="89" spans="1:12" x14ac:dyDescent="0.3">
      <c r="A89" s="601"/>
      <c r="B89" s="126"/>
      <c r="C89" s="178" t="s">
        <v>1560</v>
      </c>
      <c r="D89" s="130"/>
      <c r="E89" s="130"/>
      <c r="F89" s="130"/>
      <c r="G89" s="606"/>
    </row>
    <row r="90" spans="1:12" ht="30" customHeight="1" x14ac:dyDescent="0.3">
      <c r="A90" s="163" t="str">
        <f>IF(L90=1,"VCIN-"&amp;TEXT(COUNTIF($L$3:L90, "1"), "0"), "")</f>
        <v>VCIN-81</v>
      </c>
      <c r="B90" s="183" t="s">
        <v>43</v>
      </c>
      <c r="C90" s="320" t="s">
        <v>1561</v>
      </c>
      <c r="D90" s="328"/>
      <c r="E90" s="186"/>
      <c r="F90" s="166"/>
      <c r="G90" s="137" t="s">
        <v>101</v>
      </c>
      <c r="I90" s="116">
        <f>IF(NOT(ISBLANK($B90)),VLOOKUP($B90,specdata,2,FALSE()),"")</f>
        <v>1</v>
      </c>
      <c r="J90" s="116">
        <f>VLOOKUP(G90,AvailabilityData,2,FALSE())</f>
        <v>0</v>
      </c>
      <c r="K90" s="116">
        <f>I90*J90</f>
        <v>0</v>
      </c>
      <c r="L90" s="115">
        <v>1</v>
      </c>
    </row>
    <row r="91" spans="1:12" ht="30" customHeight="1" x14ac:dyDescent="0.3">
      <c r="A91" s="163" t="str">
        <f>IF(L91=1,"VCIN-"&amp;TEXT(COUNTIF($L$3:L91, "1"), "0"), "")</f>
        <v>VCIN-82</v>
      </c>
      <c r="B91" s="133" t="s">
        <v>43</v>
      </c>
      <c r="C91" s="149" t="s">
        <v>1562</v>
      </c>
      <c r="D91" s="326"/>
      <c r="E91" s="186"/>
      <c r="F91" s="166"/>
      <c r="G91" s="137" t="s">
        <v>101</v>
      </c>
      <c r="I91" s="116">
        <f>IF(NOT(ISBLANK($B91)),VLOOKUP($B91,specdata,2,FALSE()),"")</f>
        <v>1</v>
      </c>
      <c r="J91" s="116">
        <f>VLOOKUP(G91,AvailabilityData,2,FALSE())</f>
        <v>0</v>
      </c>
      <c r="K91" s="116">
        <f>I91*J91</f>
        <v>0</v>
      </c>
      <c r="L91" s="115">
        <v>1</v>
      </c>
    </row>
    <row r="92" spans="1:12" ht="30" customHeight="1" x14ac:dyDescent="0.3">
      <c r="A92" s="163" t="str">
        <f>IF(L92=1,"VCIN-"&amp;TEXT(COUNTIF($L$3:L92, "1"), "0"), "")</f>
        <v>VCIN-83</v>
      </c>
      <c r="B92" s="133" t="s">
        <v>43</v>
      </c>
      <c r="C92" s="149" t="s">
        <v>1563</v>
      </c>
      <c r="D92" s="326"/>
      <c r="E92" s="186"/>
      <c r="F92" s="166"/>
      <c r="G92" s="137" t="s">
        <v>101</v>
      </c>
      <c r="I92" s="116">
        <f>IF(NOT(ISBLANK($B92)),VLOOKUP($B92,specdata,2,FALSE()),"")</f>
        <v>1</v>
      </c>
      <c r="J92" s="116">
        <f>VLOOKUP(G92,AvailabilityData,2,FALSE())</f>
        <v>0</v>
      </c>
      <c r="K92" s="116">
        <f>I92*J92</f>
        <v>0</v>
      </c>
      <c r="L92" s="115">
        <v>1</v>
      </c>
    </row>
    <row r="93" spans="1:12" x14ac:dyDescent="0.3">
      <c r="A93" s="601"/>
      <c r="B93" s="126"/>
      <c r="C93" s="178" t="s">
        <v>1564</v>
      </c>
      <c r="D93" s="130"/>
      <c r="E93" s="130"/>
      <c r="F93" s="130"/>
      <c r="G93" s="606"/>
    </row>
    <row r="94" spans="1:12" ht="30" customHeight="1" x14ac:dyDescent="0.3">
      <c r="A94" s="163" t="str">
        <f>IF(L94=1,"VCIN-"&amp;TEXT(COUNTIF($L$3:L94, "1"), "0"), "")</f>
        <v>VCIN-84</v>
      </c>
      <c r="B94" s="133" t="s">
        <v>43</v>
      </c>
      <c r="C94" s="149" t="s">
        <v>1565</v>
      </c>
      <c r="D94" s="326"/>
      <c r="E94" s="168"/>
      <c r="F94" s="137"/>
      <c r="G94" s="137" t="s">
        <v>101</v>
      </c>
      <c r="I94" s="116">
        <f t="shared" ref="I94:I99" si="15">IF(NOT(ISBLANK($B94)),VLOOKUP($B94,specdata,2,FALSE()),"")</f>
        <v>1</v>
      </c>
      <c r="J94" s="116">
        <f t="shared" ref="J94:J99" si="16">VLOOKUP(G94,AvailabilityData,2,FALSE())</f>
        <v>0</v>
      </c>
      <c r="K94" s="116">
        <f t="shared" ref="K94:K99" si="17">I94*J94</f>
        <v>0</v>
      </c>
      <c r="L94" s="115">
        <v>1</v>
      </c>
    </row>
    <row r="95" spans="1:12" ht="30" customHeight="1" x14ac:dyDescent="0.3">
      <c r="A95" s="163" t="str">
        <f>IF(L95=1,"VCIN-"&amp;TEXT(COUNTIF($L$3:L95, "1"), "0"), "")</f>
        <v>VCIN-85</v>
      </c>
      <c r="B95" s="133" t="s">
        <v>43</v>
      </c>
      <c r="C95" s="149" t="s">
        <v>1566</v>
      </c>
      <c r="D95" s="326"/>
      <c r="E95" s="168"/>
      <c r="F95" s="137"/>
      <c r="G95" s="137" t="s">
        <v>101</v>
      </c>
      <c r="I95" s="116">
        <f t="shared" si="15"/>
        <v>1</v>
      </c>
      <c r="J95" s="116">
        <f t="shared" si="16"/>
        <v>0</v>
      </c>
      <c r="K95" s="116">
        <f t="shared" si="17"/>
        <v>0</v>
      </c>
      <c r="L95" s="115">
        <v>1</v>
      </c>
    </row>
    <row r="96" spans="1:12" ht="30" customHeight="1" x14ac:dyDescent="0.3">
      <c r="A96" s="163" t="str">
        <f>IF(L96=1,"VCIN-"&amp;TEXT(COUNTIF($L$3:L96, "1"), "0"), "")</f>
        <v>VCIN-86</v>
      </c>
      <c r="B96" s="133" t="s">
        <v>43</v>
      </c>
      <c r="C96" s="149" t="s">
        <v>1567</v>
      </c>
      <c r="D96" s="326"/>
      <c r="E96" s="168"/>
      <c r="F96" s="137"/>
      <c r="G96" s="137" t="s">
        <v>101</v>
      </c>
      <c r="I96" s="116">
        <f t="shared" si="15"/>
        <v>1</v>
      </c>
      <c r="J96" s="116">
        <f t="shared" si="16"/>
        <v>0</v>
      </c>
      <c r="K96" s="116">
        <f t="shared" si="17"/>
        <v>0</v>
      </c>
      <c r="L96" s="115">
        <v>1</v>
      </c>
    </row>
    <row r="97" spans="1:12" ht="30" customHeight="1" x14ac:dyDescent="0.3">
      <c r="A97" s="163" t="str">
        <f>IF(L97=1,"VCIN-"&amp;TEXT(COUNTIF($L$3:L97, "1"), "0"), "")</f>
        <v>VCIN-87</v>
      </c>
      <c r="B97" s="133" t="s">
        <v>43</v>
      </c>
      <c r="C97" s="149" t="s">
        <v>1568</v>
      </c>
      <c r="D97" s="326"/>
      <c r="E97" s="168"/>
      <c r="F97" s="137"/>
      <c r="G97" s="137" t="s">
        <v>101</v>
      </c>
      <c r="I97" s="116">
        <f t="shared" si="15"/>
        <v>1</v>
      </c>
      <c r="J97" s="116">
        <f t="shared" si="16"/>
        <v>0</v>
      </c>
      <c r="K97" s="116">
        <f t="shared" si="17"/>
        <v>0</v>
      </c>
      <c r="L97" s="115">
        <v>1</v>
      </c>
    </row>
    <row r="98" spans="1:12" ht="30" customHeight="1" x14ac:dyDescent="0.3">
      <c r="A98" s="163" t="str">
        <f>IF(L98=1,"VCIN-"&amp;TEXT(COUNTIF($L$3:L98, "1"), "0"), "")</f>
        <v>VCIN-88</v>
      </c>
      <c r="B98" s="133" t="s">
        <v>43</v>
      </c>
      <c r="C98" s="149" t="s">
        <v>1569</v>
      </c>
      <c r="D98" s="326"/>
      <c r="E98" s="168"/>
      <c r="F98" s="137"/>
      <c r="G98" s="137" t="s">
        <v>101</v>
      </c>
      <c r="I98" s="116">
        <f t="shared" si="15"/>
        <v>1</v>
      </c>
      <c r="J98" s="116">
        <f t="shared" si="16"/>
        <v>0</v>
      </c>
      <c r="K98" s="116">
        <f t="shared" si="17"/>
        <v>0</v>
      </c>
      <c r="L98" s="115">
        <v>1</v>
      </c>
    </row>
    <row r="99" spans="1:12" ht="46.8" x14ac:dyDescent="0.3">
      <c r="A99" s="163" t="str">
        <f>IF(L99=1,"VCIN-"&amp;TEXT(COUNTIF($L$3:L99, "1"), "0"), "")</f>
        <v>VCIN-89</v>
      </c>
      <c r="B99" s="133" t="s">
        <v>43</v>
      </c>
      <c r="C99" s="164" t="s">
        <v>1570</v>
      </c>
      <c r="D99" s="326"/>
      <c r="E99" s="168"/>
      <c r="F99" s="137"/>
      <c r="G99" s="137" t="s">
        <v>101</v>
      </c>
      <c r="I99" s="116">
        <f t="shared" si="15"/>
        <v>1</v>
      </c>
      <c r="J99" s="116">
        <f t="shared" si="16"/>
        <v>0</v>
      </c>
      <c r="K99" s="116">
        <f t="shared" si="17"/>
        <v>0</v>
      </c>
      <c r="L99" s="115">
        <v>1</v>
      </c>
    </row>
    <row r="100" spans="1:12" x14ac:dyDescent="0.3">
      <c r="A100" s="601"/>
      <c r="B100" s="126"/>
      <c r="C100" s="602" t="s">
        <v>1571</v>
      </c>
      <c r="D100" s="130"/>
      <c r="E100" s="130"/>
      <c r="F100" s="130"/>
      <c r="G100" s="606"/>
    </row>
    <row r="101" spans="1:12" ht="30" customHeight="1" x14ac:dyDescent="0.3">
      <c r="A101" s="163" t="str">
        <f>IF(L101=1,"VCIN-"&amp;TEXT(COUNTIF($L$3:L101, "1"), "0"), "")</f>
        <v>VCIN-90</v>
      </c>
      <c r="B101" s="183" t="s">
        <v>43</v>
      </c>
      <c r="C101" s="184" t="s">
        <v>1572</v>
      </c>
      <c r="D101" s="328"/>
      <c r="E101" s="186"/>
      <c r="F101" s="166"/>
      <c r="G101" s="137" t="s">
        <v>101</v>
      </c>
      <c r="I101" s="116">
        <f>IF(NOT(ISBLANK($B101)),VLOOKUP($B101,specdata,2,FALSE()),"")</f>
        <v>1</v>
      </c>
      <c r="J101" s="116">
        <f>VLOOKUP(G101,AvailabilityData,2,FALSE())</f>
        <v>0</v>
      </c>
      <c r="K101" s="116">
        <f>I101*J101</f>
        <v>0</v>
      </c>
      <c r="L101" s="115">
        <v>1</v>
      </c>
    </row>
    <row r="102" spans="1:12" ht="52.5" customHeight="1" x14ac:dyDescent="0.3">
      <c r="A102" s="163" t="str">
        <f>IF(L102=1,"VCIN-"&amp;TEXT(COUNTIF($L$3:L102, "1"), "0"), "")</f>
        <v>VCIN-91</v>
      </c>
      <c r="B102" s="169" t="s">
        <v>43</v>
      </c>
      <c r="C102" s="170" t="s">
        <v>1573</v>
      </c>
      <c r="D102" s="327"/>
      <c r="E102" s="186"/>
      <c r="F102" s="166"/>
      <c r="G102" s="137" t="s">
        <v>101</v>
      </c>
      <c r="I102" s="116">
        <f>IF(NOT(ISBLANK($B102)),VLOOKUP($B102,specdata,2,FALSE()),"")</f>
        <v>1</v>
      </c>
      <c r="J102" s="116">
        <f>VLOOKUP(G102,AvailabilityData,2,FALSE())</f>
        <v>0</v>
      </c>
      <c r="K102" s="116">
        <f>I102*J102</f>
        <v>0</v>
      </c>
      <c r="L102" s="115">
        <v>1</v>
      </c>
    </row>
    <row r="103" spans="1:12" x14ac:dyDescent="0.3">
      <c r="A103" s="601"/>
      <c r="B103" s="126"/>
      <c r="C103" s="602" t="s">
        <v>1574</v>
      </c>
      <c r="D103" s="130"/>
      <c r="E103" s="130"/>
      <c r="F103" s="130"/>
      <c r="G103" s="606"/>
    </row>
    <row r="104" spans="1:12" ht="31.2" x14ac:dyDescent="0.3">
      <c r="A104" s="163" t="str">
        <f>IF(L104=1,"VCIN-"&amp;TEXT(COUNTIF($L$3:L104, "1"), "0"), "")</f>
        <v>VCIN-92</v>
      </c>
      <c r="B104" s="260" t="s">
        <v>43</v>
      </c>
      <c r="C104" s="319" t="s">
        <v>1575</v>
      </c>
      <c r="D104" s="392"/>
      <c r="E104" s="186"/>
      <c r="F104" s="166"/>
      <c r="G104" s="137" t="s">
        <v>101</v>
      </c>
      <c r="I104" s="116">
        <f>IF(NOT(ISBLANK($B104)),VLOOKUP($B104,specdata,2,FALSE()),"")</f>
        <v>1</v>
      </c>
      <c r="J104" s="116">
        <f>VLOOKUP(G104,AvailabilityData,2,FALSE())</f>
        <v>0</v>
      </c>
      <c r="K104" s="116">
        <f>I104*J104</f>
        <v>0</v>
      </c>
      <c r="L104" s="115">
        <v>1</v>
      </c>
    </row>
    <row r="105" spans="1:12" x14ac:dyDescent="0.3">
      <c r="A105" s="603"/>
      <c r="B105" s="126"/>
      <c r="C105" s="602" t="s">
        <v>1576</v>
      </c>
      <c r="D105" s="130"/>
      <c r="E105" s="130"/>
      <c r="F105" s="130"/>
      <c r="G105" s="606"/>
    </row>
    <row r="106" spans="1:12" ht="30" customHeight="1" x14ac:dyDescent="0.3">
      <c r="A106" s="163" t="str">
        <f>IF(L106=1,"VCIN-"&amp;TEXT(COUNTIF($L$3:L106, "1"), "0"), "")</f>
        <v>VCIN-93</v>
      </c>
      <c r="B106" s="183" t="s">
        <v>43</v>
      </c>
      <c r="C106" s="184" t="s">
        <v>1577</v>
      </c>
      <c r="D106" s="185"/>
      <c r="E106" s="186"/>
      <c r="F106" s="166"/>
      <c r="G106" s="137" t="s">
        <v>101</v>
      </c>
      <c r="I106" s="116">
        <f>IF(NOT(ISBLANK($B106)),VLOOKUP($B106,specdata,2,FALSE()),"")</f>
        <v>1</v>
      </c>
      <c r="J106" s="116">
        <f>VLOOKUP(G106,AvailabilityData,2,FALSE())</f>
        <v>0</v>
      </c>
      <c r="K106" s="116">
        <f>I106*J106</f>
        <v>0</v>
      </c>
      <c r="L106" s="115">
        <v>1</v>
      </c>
    </row>
    <row r="107" spans="1:12" ht="30" customHeight="1" x14ac:dyDescent="0.3">
      <c r="A107" s="163" t="str">
        <f>IF(L107=1,"VCIN-"&amp;TEXT(COUNTIF($L$3:L107, "1"), "0"), "")</f>
        <v>VCIN-94</v>
      </c>
      <c r="B107" s="133" t="s">
        <v>43</v>
      </c>
      <c r="C107" s="164" t="s">
        <v>1578</v>
      </c>
      <c r="D107" s="138"/>
      <c r="E107" s="186"/>
      <c r="F107" s="166"/>
      <c r="G107" s="137" t="s">
        <v>101</v>
      </c>
      <c r="I107" s="116">
        <f>IF(NOT(ISBLANK($B107)),VLOOKUP($B107,specdata,2,FALSE()),"")</f>
        <v>1</v>
      </c>
      <c r="J107" s="116">
        <f>VLOOKUP(G107,AvailabilityData,2,FALSE())</f>
        <v>0</v>
      </c>
      <c r="K107" s="116">
        <f>I107*J107</f>
        <v>0</v>
      </c>
      <c r="L107" s="115">
        <v>1</v>
      </c>
    </row>
    <row r="108" spans="1:12" ht="30" customHeight="1" x14ac:dyDescent="0.3">
      <c r="A108" s="163" t="str">
        <f>IF(L108=1,"VCIN-"&amp;TEXT(COUNTIF($L$3:L108, "1"), "0"), "")</f>
        <v>VCIN-95</v>
      </c>
      <c r="B108" s="169" t="s">
        <v>43</v>
      </c>
      <c r="C108" s="170" t="s">
        <v>1579</v>
      </c>
      <c r="D108" s="323"/>
      <c r="E108" s="186"/>
      <c r="F108" s="166"/>
      <c r="G108" s="137" t="s">
        <v>101</v>
      </c>
      <c r="I108" s="116">
        <f>IF(NOT(ISBLANK($B108)),VLOOKUP($B108,specdata,2,FALSE()),"")</f>
        <v>1</v>
      </c>
      <c r="J108" s="116">
        <f>VLOOKUP(G108,AvailabilityData,2,FALSE())</f>
        <v>0</v>
      </c>
      <c r="K108" s="116">
        <f>I108*J108</f>
        <v>0</v>
      </c>
      <c r="L108" s="115">
        <v>1</v>
      </c>
    </row>
    <row r="109" spans="1:12" x14ac:dyDescent="0.3">
      <c r="A109" s="448"/>
      <c r="B109" s="126"/>
      <c r="C109" s="602" t="s">
        <v>1580</v>
      </c>
      <c r="D109" s="130"/>
      <c r="E109" s="130"/>
      <c r="F109" s="130"/>
      <c r="G109" s="606"/>
    </row>
    <row r="110" spans="1:12" ht="30" customHeight="1" x14ac:dyDescent="0.3">
      <c r="A110" s="163" t="str">
        <f>IF(L110=1,"VCIN-"&amp;TEXT(COUNTIF($L$3:L110, "1"), "0"), "")</f>
        <v>VCIN-96</v>
      </c>
      <c r="B110" s="183" t="s">
        <v>43</v>
      </c>
      <c r="C110" s="184" t="s">
        <v>1581</v>
      </c>
      <c r="D110" s="270"/>
      <c r="E110" s="186"/>
      <c r="F110" s="166"/>
      <c r="G110" s="137" t="s">
        <v>101</v>
      </c>
      <c r="I110" s="116">
        <f>IF(NOT(ISBLANK($B110)),VLOOKUP($B110,specdata,2,FALSE()),"")</f>
        <v>1</v>
      </c>
      <c r="J110" s="116">
        <f>VLOOKUP(G110,AvailabilityData,2,FALSE())</f>
        <v>0</v>
      </c>
      <c r="K110" s="116">
        <f>I110*J110</f>
        <v>0</v>
      </c>
      <c r="L110" s="115">
        <v>1</v>
      </c>
    </row>
    <row r="111" spans="1:12" ht="30" customHeight="1" x14ac:dyDescent="0.3">
      <c r="A111" s="163" t="str">
        <f>IF(L111=1,"VCIN-"&amp;TEXT(COUNTIF($L$3:L111, "1"), "0"), "")</f>
        <v>VCIN-97</v>
      </c>
      <c r="B111" s="133" t="s">
        <v>43</v>
      </c>
      <c r="C111" s="164" t="s">
        <v>1582</v>
      </c>
      <c r="D111" s="153"/>
      <c r="E111" s="186"/>
      <c r="F111" s="166"/>
      <c r="G111" s="137" t="s">
        <v>101</v>
      </c>
      <c r="I111" s="116">
        <f>IF(NOT(ISBLANK($B111)),VLOOKUP($B111,specdata,2,FALSE()),"")</f>
        <v>1</v>
      </c>
      <c r="J111" s="116">
        <f>VLOOKUP(G111,AvailabilityData,2,FALSE())</f>
        <v>0</v>
      </c>
      <c r="K111" s="116">
        <f>I111*J111</f>
        <v>0</v>
      </c>
      <c r="L111" s="115">
        <v>1</v>
      </c>
    </row>
    <row r="112" spans="1:12" ht="46.8" x14ac:dyDescent="0.3">
      <c r="A112" s="163" t="str">
        <f>IF(L112=1,"VCIN-"&amp;TEXT(COUNTIF($L$3:L112, "1"), "0"), "")</f>
        <v>VCIN-98</v>
      </c>
      <c r="B112" s="133" t="s">
        <v>43</v>
      </c>
      <c r="C112" s="164" t="s">
        <v>1583</v>
      </c>
      <c r="D112" s="153"/>
      <c r="E112" s="186"/>
      <c r="F112" s="166"/>
      <c r="G112" s="137" t="s">
        <v>101</v>
      </c>
      <c r="I112" s="116">
        <f>IF(NOT(ISBLANK($B112)),VLOOKUP($B112,specdata,2,FALSE()),"")</f>
        <v>1</v>
      </c>
      <c r="J112" s="116">
        <f>VLOOKUP(G112,AvailabilityData,2,FALSE())</f>
        <v>0</v>
      </c>
      <c r="K112" s="116">
        <f>I112*J112</f>
        <v>0</v>
      </c>
      <c r="L112" s="115">
        <v>1</v>
      </c>
    </row>
    <row r="113" spans="1:12" ht="46.8" x14ac:dyDescent="0.3">
      <c r="A113" s="163" t="str">
        <f>IF(L113=1,"VCIN-"&amp;TEXT(COUNTIF($L$3:L113, "1"), "0"), "")</f>
        <v>VCIN-99</v>
      </c>
      <c r="B113" s="133" t="s">
        <v>43</v>
      </c>
      <c r="C113" s="164" t="s">
        <v>1584</v>
      </c>
      <c r="D113" s="153"/>
      <c r="E113" s="186"/>
      <c r="F113" s="166"/>
      <c r="G113" s="137" t="s">
        <v>101</v>
      </c>
      <c r="I113" s="116">
        <f>IF(NOT(ISBLANK($B113)),VLOOKUP($B113,specdata,2,FALSE()),"")</f>
        <v>1</v>
      </c>
      <c r="J113" s="116">
        <f>VLOOKUP(G113,AvailabilityData,2,FALSE())</f>
        <v>0</v>
      </c>
      <c r="K113" s="116">
        <f>I113*J113</f>
        <v>0</v>
      </c>
      <c r="L113" s="115">
        <v>1</v>
      </c>
    </row>
    <row r="114" spans="1:12" ht="46.8" x14ac:dyDescent="0.3">
      <c r="A114" s="163" t="str">
        <f>IF(L114=1,"VCIN-"&amp;TEXT(COUNTIF($L$3:L114, "1"), "0"), "")</f>
        <v>VCIN-100</v>
      </c>
      <c r="B114" s="169" t="s">
        <v>43</v>
      </c>
      <c r="C114" s="170" t="s">
        <v>1585</v>
      </c>
      <c r="D114" s="174"/>
      <c r="E114" s="186"/>
      <c r="F114" s="166"/>
      <c r="G114" s="137" t="s">
        <v>101</v>
      </c>
      <c r="I114" s="116">
        <f>IF(NOT(ISBLANK($B114)),VLOOKUP($B114,specdata,2,FALSE()),"")</f>
        <v>1</v>
      </c>
      <c r="J114" s="116">
        <f>VLOOKUP(G114,AvailabilityData,2,FALSE())</f>
        <v>0</v>
      </c>
      <c r="K114" s="116">
        <f>I114*J114</f>
        <v>0</v>
      </c>
      <c r="L114" s="115">
        <v>1</v>
      </c>
    </row>
    <row r="115" spans="1:12" ht="30" customHeight="1" x14ac:dyDescent="0.3">
      <c r="A115" s="448"/>
      <c r="B115" s="126"/>
      <c r="C115" s="178" t="s">
        <v>1586</v>
      </c>
      <c r="D115" s="130"/>
      <c r="E115" s="130"/>
      <c r="F115" s="130"/>
      <c r="G115" s="606"/>
    </row>
    <row r="116" spans="1:12" ht="30" customHeight="1" x14ac:dyDescent="0.3">
      <c r="A116" s="163" t="str">
        <f>IF(L116=1,"VCIN-"&amp;TEXT(COUNTIF($L$3:L116, "1"), "0"), "")</f>
        <v>VCIN-101</v>
      </c>
      <c r="B116" s="183" t="s">
        <v>43</v>
      </c>
      <c r="C116" s="320" t="s">
        <v>1587</v>
      </c>
      <c r="D116" s="328"/>
      <c r="E116" s="186"/>
      <c r="F116" s="166"/>
      <c r="G116" s="137" t="s">
        <v>101</v>
      </c>
      <c r="I116" s="116">
        <f>IF(NOT(ISBLANK($B116)),VLOOKUP($B116,specdata,2,FALSE()),"")</f>
        <v>1</v>
      </c>
      <c r="J116" s="116">
        <f>VLOOKUP(G116,AvailabilityData,2,FALSE())</f>
        <v>0</v>
      </c>
      <c r="K116" s="116">
        <f>I116*J116</f>
        <v>0</v>
      </c>
      <c r="L116" s="115">
        <v>1</v>
      </c>
    </row>
    <row r="117" spans="1:12" ht="30" customHeight="1" x14ac:dyDescent="0.3">
      <c r="A117" s="163" t="str">
        <f>IF(L117=1,"VCIN-"&amp;TEXT(COUNTIF($L$3:L117, "1"), "0"), "")</f>
        <v>VCIN-102</v>
      </c>
      <c r="B117" s="133" t="s">
        <v>43</v>
      </c>
      <c r="C117" s="149" t="s">
        <v>1588</v>
      </c>
      <c r="D117" s="326"/>
      <c r="E117" s="186"/>
      <c r="F117" s="166"/>
      <c r="G117" s="137" t="s">
        <v>101</v>
      </c>
      <c r="I117" s="116">
        <f>IF(NOT(ISBLANK($B117)),VLOOKUP($B117,specdata,2,FALSE()),"")</f>
        <v>1</v>
      </c>
      <c r="J117" s="116">
        <f>VLOOKUP(G117,AvailabilityData,2,FALSE())</f>
        <v>0</v>
      </c>
      <c r="K117" s="116">
        <f>I117*J117</f>
        <v>0</v>
      </c>
      <c r="L117" s="115">
        <v>1</v>
      </c>
    </row>
    <row r="118" spans="1:12" ht="30" customHeight="1" x14ac:dyDescent="0.3">
      <c r="A118" s="163" t="str">
        <f>IF(L118=1,"VCIN-"&amp;TEXT(COUNTIF($L$3:L118, "1"), "0"), "")</f>
        <v>VCIN-103</v>
      </c>
      <c r="B118" s="133" t="s">
        <v>43</v>
      </c>
      <c r="C118" s="149" t="s">
        <v>1589</v>
      </c>
      <c r="D118" s="326"/>
      <c r="E118" s="186"/>
      <c r="F118" s="166"/>
      <c r="G118" s="137" t="s">
        <v>101</v>
      </c>
      <c r="I118" s="116">
        <f>IF(NOT(ISBLANK($B118)),VLOOKUP($B118,specdata,2,FALSE()),"")</f>
        <v>1</v>
      </c>
      <c r="J118" s="116">
        <f>VLOOKUP(G118,AvailabilityData,2,FALSE())</f>
        <v>0</v>
      </c>
      <c r="K118" s="116">
        <f>I118*J118</f>
        <v>0</v>
      </c>
      <c r="L118" s="115">
        <v>1</v>
      </c>
    </row>
    <row r="119" spans="1:12" ht="30" customHeight="1" x14ac:dyDescent="0.3">
      <c r="A119" s="163" t="str">
        <f>IF(L119=1,"VCIN-"&amp;TEXT(COUNTIF($L$3:L119, "1"), "0"), "")</f>
        <v>VCIN-104</v>
      </c>
      <c r="B119" s="133" t="s">
        <v>43</v>
      </c>
      <c r="C119" s="149" t="s">
        <v>1590</v>
      </c>
      <c r="D119" s="326"/>
      <c r="E119" s="186"/>
      <c r="F119" s="166"/>
      <c r="G119" s="137" t="s">
        <v>101</v>
      </c>
      <c r="I119" s="116">
        <f>IF(NOT(ISBLANK($B119)),VLOOKUP($B119,specdata,2,FALSE()),"")</f>
        <v>1</v>
      </c>
      <c r="J119" s="116">
        <f>VLOOKUP(G119,AvailabilityData,2,FALSE())</f>
        <v>0</v>
      </c>
      <c r="K119" s="116">
        <f>I119*J119</f>
        <v>0</v>
      </c>
      <c r="L119" s="115">
        <v>1</v>
      </c>
    </row>
    <row r="120" spans="1:12" ht="30" customHeight="1" x14ac:dyDescent="0.3">
      <c r="A120" s="163" t="str">
        <f>IF(L120=1,"VCIN-"&amp;TEXT(COUNTIF($L$3:L120, "1"), "0"), "")</f>
        <v>VCIN-105</v>
      </c>
      <c r="B120" s="133" t="s">
        <v>43</v>
      </c>
      <c r="C120" s="149" t="s">
        <v>1591</v>
      </c>
      <c r="D120" s="326"/>
      <c r="E120" s="186"/>
      <c r="F120" s="166"/>
      <c r="G120" s="137" t="s">
        <v>101</v>
      </c>
      <c r="I120" s="116">
        <f>IF(NOT(ISBLANK($B120)),VLOOKUP($B120,specdata,2,FALSE()),"")</f>
        <v>1</v>
      </c>
      <c r="J120" s="116">
        <f>VLOOKUP(G120,AvailabilityData,2,FALSE())</f>
        <v>0</v>
      </c>
      <c r="K120" s="116">
        <f>I120*J120</f>
        <v>0</v>
      </c>
      <c r="L120" s="115">
        <v>1</v>
      </c>
    </row>
    <row r="121" spans="1:12" ht="31.2" x14ac:dyDescent="0.3">
      <c r="A121" s="448"/>
      <c r="B121" s="126"/>
      <c r="C121" s="178" t="s">
        <v>1592</v>
      </c>
      <c r="D121" s="130"/>
      <c r="E121" s="130"/>
      <c r="F121" s="130"/>
      <c r="G121" s="606"/>
    </row>
    <row r="122" spans="1:12" ht="30" customHeight="1" x14ac:dyDescent="0.3">
      <c r="A122" s="163" t="str">
        <f>IF(L122=1,"VCIN-"&amp;TEXT(COUNTIF($L$3:L122, "1"), "0"), "")</f>
        <v>VCIN-106</v>
      </c>
      <c r="B122" s="133" t="s">
        <v>43</v>
      </c>
      <c r="C122" s="149" t="s">
        <v>1593</v>
      </c>
      <c r="D122" s="326"/>
      <c r="E122" s="186"/>
      <c r="F122" s="166"/>
      <c r="G122" s="137" t="s">
        <v>101</v>
      </c>
      <c r="I122" s="116">
        <f>IF(NOT(ISBLANK($B122)),VLOOKUP($B122,specdata,2,FALSE()),"")</f>
        <v>1</v>
      </c>
      <c r="J122" s="116">
        <f>VLOOKUP(G122,AvailabilityData,2,FALSE())</f>
        <v>0</v>
      </c>
      <c r="K122" s="116">
        <f>I122*J122</f>
        <v>0</v>
      </c>
      <c r="L122" s="115">
        <v>1</v>
      </c>
    </row>
    <row r="123" spans="1:12" ht="30" customHeight="1" x14ac:dyDescent="0.3">
      <c r="A123" s="163" t="str">
        <f>IF(L123=1,"VCIN-"&amp;TEXT(COUNTIF($L$3:L123, "1"), "0"), "")</f>
        <v>VCIN-107</v>
      </c>
      <c r="B123" s="133" t="s">
        <v>43</v>
      </c>
      <c r="C123" s="149" t="s">
        <v>1594</v>
      </c>
      <c r="D123" s="326"/>
      <c r="E123" s="186"/>
      <c r="F123" s="166"/>
      <c r="G123" s="137" t="s">
        <v>101</v>
      </c>
      <c r="I123" s="116">
        <f>IF(NOT(ISBLANK($B123)),VLOOKUP($B123,specdata,2,FALSE()),"")</f>
        <v>1</v>
      </c>
      <c r="J123" s="116">
        <f>VLOOKUP(G123,AvailabilityData,2,FALSE())</f>
        <v>0</v>
      </c>
      <c r="K123" s="116">
        <f>I123*J123</f>
        <v>0</v>
      </c>
      <c r="L123" s="115">
        <v>1</v>
      </c>
    </row>
    <row r="124" spans="1:12" x14ac:dyDescent="0.3">
      <c r="A124" s="603"/>
      <c r="B124" s="544"/>
      <c r="C124" s="604" t="s">
        <v>1595</v>
      </c>
      <c r="D124" s="605"/>
      <c r="E124" s="605"/>
      <c r="F124" s="605"/>
      <c r="G124" s="606"/>
    </row>
    <row r="125" spans="1:12" ht="31.2" x14ac:dyDescent="0.3">
      <c r="A125" s="163" t="str">
        <f>IF(L125=1,"VCIN-"&amp;TEXT(COUNTIF($L$3:L125, "1"), "0"), "")</f>
        <v>VCIN-108</v>
      </c>
      <c r="B125" s="260" t="s">
        <v>43</v>
      </c>
      <c r="C125" s="319" t="s">
        <v>1596</v>
      </c>
      <c r="D125" s="392"/>
      <c r="E125" s="186"/>
      <c r="F125" s="166"/>
      <c r="G125" s="137" t="s">
        <v>101</v>
      </c>
      <c r="I125" s="116">
        <f>IF(NOT(ISBLANK($B125)),VLOOKUP($B125,specdata,2,FALSE()),"")</f>
        <v>1</v>
      </c>
      <c r="J125" s="116">
        <f>VLOOKUP(G125,AvailabilityData,2,FALSE())</f>
        <v>0</v>
      </c>
      <c r="K125" s="116">
        <f>I125*J125</f>
        <v>0</v>
      </c>
      <c r="L125" s="115">
        <v>1</v>
      </c>
    </row>
    <row r="126" spans="1:12" ht="30" customHeight="1" x14ac:dyDescent="0.3">
      <c r="A126" s="448"/>
      <c r="B126" s="126"/>
      <c r="C126" s="178" t="s">
        <v>1597</v>
      </c>
      <c r="D126" s="130"/>
      <c r="E126" s="130"/>
      <c r="F126" s="130"/>
      <c r="G126" s="606"/>
    </row>
    <row r="127" spans="1:12" ht="30" customHeight="1" x14ac:dyDescent="0.3">
      <c r="A127" s="163" t="str">
        <f>IF(L127=1,"VCIN-"&amp;TEXT(COUNTIF($L$3:L127, "1"), "0"), "")</f>
        <v>VCIN-109</v>
      </c>
      <c r="B127" s="183" t="s">
        <v>43</v>
      </c>
      <c r="C127" s="320" t="s">
        <v>1598</v>
      </c>
      <c r="D127" s="328"/>
      <c r="E127" s="186"/>
      <c r="F127" s="166"/>
      <c r="G127" s="137" t="s">
        <v>101</v>
      </c>
      <c r="I127" s="116">
        <f>IF(NOT(ISBLANK($B127)),VLOOKUP($B127,specdata,2,FALSE()),"")</f>
        <v>1</v>
      </c>
      <c r="J127" s="116">
        <f>VLOOKUP(G127,AvailabilityData,2,FALSE())</f>
        <v>0</v>
      </c>
      <c r="K127" s="116">
        <f>I127*J127</f>
        <v>0</v>
      </c>
      <c r="L127" s="115">
        <v>1</v>
      </c>
    </row>
    <row r="128" spans="1:12" ht="30" customHeight="1" x14ac:dyDescent="0.3">
      <c r="A128" s="163" t="str">
        <f>IF(L128=1,"VCIN-"&amp;TEXT(COUNTIF($L$3:L128, "1"), "0"), "")</f>
        <v>VCIN-110</v>
      </c>
      <c r="B128" s="133" t="s">
        <v>43</v>
      </c>
      <c r="C128" s="149" t="s">
        <v>1599</v>
      </c>
      <c r="D128" s="326"/>
      <c r="E128" s="186"/>
      <c r="F128" s="166"/>
      <c r="G128" s="137" t="s">
        <v>101</v>
      </c>
      <c r="I128" s="116">
        <f>IF(NOT(ISBLANK($B128)),VLOOKUP($B128,specdata,2,FALSE()),"")</f>
        <v>1</v>
      </c>
      <c r="J128" s="116">
        <f>VLOOKUP(G128,AvailabilityData,2,FALSE())</f>
        <v>0</v>
      </c>
      <c r="K128" s="116">
        <f>I128*J128</f>
        <v>0</v>
      </c>
      <c r="L128" s="115">
        <v>1</v>
      </c>
    </row>
    <row r="129" spans="1:12" ht="30" customHeight="1" x14ac:dyDescent="0.3">
      <c r="A129" s="163" t="str">
        <f>IF(L129=1,"VCIN-"&amp;TEXT(COUNTIF($L$3:L129, "1"), "0"), "")</f>
        <v>VCIN-111</v>
      </c>
      <c r="B129" s="169" t="s">
        <v>43</v>
      </c>
      <c r="C129" s="322" t="s">
        <v>1600</v>
      </c>
      <c r="D129" s="327"/>
      <c r="E129" s="186"/>
      <c r="F129" s="166"/>
      <c r="G129" s="137" t="s">
        <v>101</v>
      </c>
      <c r="I129" s="116">
        <f>IF(NOT(ISBLANK($B129)),VLOOKUP($B129,specdata,2,FALSE()),"")</f>
        <v>1</v>
      </c>
      <c r="J129" s="116">
        <f>VLOOKUP(G129,AvailabilityData,2,FALSE())</f>
        <v>0</v>
      </c>
      <c r="K129" s="116">
        <f>I129*J129</f>
        <v>0</v>
      </c>
      <c r="L129" s="115">
        <v>1</v>
      </c>
    </row>
    <row r="130" spans="1:12" x14ac:dyDescent="0.3">
      <c r="A130" s="448"/>
      <c r="B130" s="126"/>
      <c r="C130" s="178" t="s">
        <v>1601</v>
      </c>
      <c r="D130" s="130"/>
      <c r="E130" s="130"/>
      <c r="F130" s="130"/>
      <c r="G130" s="606"/>
    </row>
    <row r="131" spans="1:12" ht="30" customHeight="1" x14ac:dyDescent="0.3">
      <c r="A131" s="163" t="str">
        <f>IF(L131=1,"VCIN-"&amp;TEXT(COUNTIF($L$3:L131, "1"), "0"), "")</f>
        <v>VCIN-112</v>
      </c>
      <c r="B131" s="183" t="s">
        <v>43</v>
      </c>
      <c r="C131" s="320" t="s">
        <v>1602</v>
      </c>
      <c r="D131" s="328"/>
      <c r="E131" s="186"/>
      <c r="F131" s="166"/>
      <c r="G131" s="137" t="s">
        <v>101</v>
      </c>
      <c r="I131" s="116">
        <f>IF(NOT(ISBLANK($B131)),VLOOKUP($B131,specdata,2,FALSE()),"")</f>
        <v>1</v>
      </c>
      <c r="J131" s="116">
        <f>VLOOKUP(G131,AvailabilityData,2,FALSE())</f>
        <v>0</v>
      </c>
      <c r="K131" s="116">
        <f>I131*J131</f>
        <v>0</v>
      </c>
      <c r="L131" s="115">
        <v>1</v>
      </c>
    </row>
    <row r="132" spans="1:12" ht="30" customHeight="1" x14ac:dyDescent="0.3">
      <c r="A132" s="163" t="str">
        <f>IF(L132=1,"VCIN-"&amp;TEXT(COUNTIF($L$3:L132, "1"), "0"), "")</f>
        <v>VCIN-113</v>
      </c>
      <c r="B132" s="133" t="s">
        <v>43</v>
      </c>
      <c r="C132" s="149" t="s">
        <v>1603</v>
      </c>
      <c r="D132" s="326"/>
      <c r="E132" s="186"/>
      <c r="F132" s="166"/>
      <c r="G132" s="137" t="s">
        <v>101</v>
      </c>
      <c r="I132" s="116">
        <f>IF(NOT(ISBLANK($B132)),VLOOKUP($B132,specdata,2,FALSE()),"")</f>
        <v>1</v>
      </c>
      <c r="J132" s="116">
        <f>VLOOKUP(G132,AvailabilityData,2,FALSE())</f>
        <v>0</v>
      </c>
      <c r="K132" s="116">
        <f>I132*J132</f>
        <v>0</v>
      </c>
      <c r="L132" s="115">
        <v>1</v>
      </c>
    </row>
    <row r="133" spans="1:12" ht="30" customHeight="1" x14ac:dyDescent="0.3">
      <c r="A133" s="163" t="str">
        <f>IF(L133=1,"VCIN-"&amp;TEXT(COUNTIF($L$3:L133, "1"), "0"), "")</f>
        <v>VCIN-114</v>
      </c>
      <c r="B133" s="133" t="s">
        <v>43</v>
      </c>
      <c r="C133" s="149" t="s">
        <v>1604</v>
      </c>
      <c r="D133" s="326"/>
      <c r="E133" s="186"/>
      <c r="F133" s="166"/>
      <c r="G133" s="137" t="s">
        <v>101</v>
      </c>
      <c r="I133" s="116">
        <f>IF(NOT(ISBLANK($B133)),VLOOKUP($B133,specdata,2,FALSE()),"")</f>
        <v>1</v>
      </c>
      <c r="J133" s="116">
        <f>VLOOKUP(G133,AvailabilityData,2,FALSE())</f>
        <v>0</v>
      </c>
      <c r="K133" s="116">
        <f>I133*J133</f>
        <v>0</v>
      </c>
      <c r="L133" s="115">
        <v>1</v>
      </c>
    </row>
    <row r="134" spans="1:12" ht="30" customHeight="1" x14ac:dyDescent="0.3">
      <c r="A134" s="163" t="str">
        <f>IF(L134=1,"VCIN-"&amp;TEXT(COUNTIF($L$3:L134, "1"), "0"), "")</f>
        <v>VCIN-115</v>
      </c>
      <c r="B134" s="169" t="s">
        <v>43</v>
      </c>
      <c r="C134" s="322" t="s">
        <v>1605</v>
      </c>
      <c r="D134" s="327"/>
      <c r="E134" s="186"/>
      <c r="F134" s="166"/>
      <c r="G134" s="137" t="s">
        <v>101</v>
      </c>
      <c r="I134" s="116">
        <f>IF(NOT(ISBLANK($B134)),VLOOKUP($B134,specdata,2,FALSE()),"")</f>
        <v>1</v>
      </c>
      <c r="J134" s="116">
        <f>VLOOKUP(G134,AvailabilityData,2,FALSE())</f>
        <v>0</v>
      </c>
      <c r="K134" s="116">
        <f>I134*J134</f>
        <v>0</v>
      </c>
      <c r="L134" s="115">
        <v>1</v>
      </c>
    </row>
    <row r="135" spans="1:12" x14ac:dyDescent="0.3">
      <c r="A135" s="448"/>
      <c r="B135" s="126"/>
      <c r="C135" s="193" t="s">
        <v>1606</v>
      </c>
      <c r="D135" s="130"/>
      <c r="E135" s="130"/>
      <c r="F135" s="130"/>
      <c r="G135" s="606"/>
    </row>
    <row r="136" spans="1:12" ht="46.8" x14ac:dyDescent="0.3">
      <c r="A136" s="163" t="str">
        <f>IF(L136=1,"VCIN-"&amp;TEXT(COUNTIF($L$3:L136, "1"), "0"), "")</f>
        <v>VCIN-116</v>
      </c>
      <c r="B136" s="183" t="s">
        <v>43</v>
      </c>
      <c r="C136" s="184" t="s">
        <v>1607</v>
      </c>
      <c r="D136" s="328"/>
      <c r="E136" s="186"/>
      <c r="F136" s="166"/>
      <c r="G136" s="137" t="s">
        <v>101</v>
      </c>
      <c r="I136" s="116">
        <f t="shared" ref="I136:I142" si="18">IF(NOT(ISBLANK($B136)),VLOOKUP($B136,specdata,2,FALSE()),"")</f>
        <v>1</v>
      </c>
      <c r="J136" s="116">
        <f t="shared" ref="J136:J142" si="19">VLOOKUP(G136,AvailabilityData,2,FALSE())</f>
        <v>0</v>
      </c>
      <c r="K136" s="116">
        <f t="shared" ref="K136:K142" si="20">I136*J136</f>
        <v>0</v>
      </c>
      <c r="L136" s="115">
        <v>1</v>
      </c>
    </row>
    <row r="137" spans="1:12" ht="30" customHeight="1" x14ac:dyDescent="0.3">
      <c r="A137" s="163" t="str">
        <f>IF(L137=1,"VCIN-"&amp;TEXT(COUNTIF($L$3:L137, "1"), "0"), "")</f>
        <v>VCIN-117</v>
      </c>
      <c r="B137" s="133" t="s">
        <v>43</v>
      </c>
      <c r="C137" s="164" t="s">
        <v>1608</v>
      </c>
      <c r="D137" s="326"/>
      <c r="E137" s="186"/>
      <c r="F137" s="166"/>
      <c r="G137" s="137" t="s">
        <v>101</v>
      </c>
      <c r="I137" s="116">
        <f t="shared" si="18"/>
        <v>1</v>
      </c>
      <c r="J137" s="116">
        <f t="shared" si="19"/>
        <v>0</v>
      </c>
      <c r="K137" s="116">
        <f t="shared" si="20"/>
        <v>0</v>
      </c>
      <c r="L137" s="115">
        <v>1</v>
      </c>
    </row>
    <row r="138" spans="1:12" ht="30" customHeight="1" x14ac:dyDescent="0.3">
      <c r="A138" s="163" t="str">
        <f>IF(L138=1,"VCIN-"&amp;TEXT(COUNTIF($L$3:L138, "1"), "0"), "")</f>
        <v>VCIN-118</v>
      </c>
      <c r="B138" s="133" t="s">
        <v>43</v>
      </c>
      <c r="C138" s="164" t="s">
        <v>1609</v>
      </c>
      <c r="D138" s="326"/>
      <c r="E138" s="186"/>
      <c r="F138" s="166"/>
      <c r="G138" s="137" t="s">
        <v>101</v>
      </c>
      <c r="I138" s="116">
        <f t="shared" si="18"/>
        <v>1</v>
      </c>
      <c r="J138" s="116">
        <f t="shared" si="19"/>
        <v>0</v>
      </c>
      <c r="K138" s="116">
        <f t="shared" si="20"/>
        <v>0</v>
      </c>
      <c r="L138" s="115">
        <v>1</v>
      </c>
    </row>
    <row r="139" spans="1:12" ht="30" customHeight="1" x14ac:dyDescent="0.3">
      <c r="A139" s="163" t="str">
        <f>IF(L139=1,"VCIN-"&amp;TEXT(COUNTIF($L$3:L139, "1"), "0"), "")</f>
        <v>VCIN-119</v>
      </c>
      <c r="B139" s="133" t="s">
        <v>43</v>
      </c>
      <c r="C139" s="164" t="s">
        <v>1610</v>
      </c>
      <c r="D139" s="326"/>
      <c r="E139" s="186"/>
      <c r="F139" s="166"/>
      <c r="G139" s="137" t="s">
        <v>101</v>
      </c>
      <c r="I139" s="116">
        <f t="shared" si="18"/>
        <v>1</v>
      </c>
      <c r="J139" s="116">
        <f t="shared" si="19"/>
        <v>0</v>
      </c>
      <c r="K139" s="116">
        <f t="shared" si="20"/>
        <v>0</v>
      </c>
      <c r="L139" s="115">
        <v>1</v>
      </c>
    </row>
    <row r="140" spans="1:12" ht="30" customHeight="1" x14ac:dyDescent="0.3">
      <c r="A140" s="163" t="str">
        <f>IF(L140=1,"VCIN-"&amp;TEXT(COUNTIF($L$3:L140, "1"), "0"), "")</f>
        <v>VCIN-120</v>
      </c>
      <c r="B140" s="133" t="s">
        <v>43</v>
      </c>
      <c r="C140" s="164" t="s">
        <v>1611</v>
      </c>
      <c r="D140" s="326"/>
      <c r="E140" s="186"/>
      <c r="F140" s="166"/>
      <c r="G140" s="137" t="s">
        <v>101</v>
      </c>
      <c r="I140" s="116">
        <f t="shared" si="18"/>
        <v>1</v>
      </c>
      <c r="J140" s="116">
        <f t="shared" si="19"/>
        <v>0</v>
      </c>
      <c r="K140" s="116">
        <f t="shared" si="20"/>
        <v>0</v>
      </c>
      <c r="L140" s="115">
        <v>1</v>
      </c>
    </row>
    <row r="141" spans="1:12" ht="30" customHeight="1" x14ac:dyDescent="0.3">
      <c r="A141" s="163" t="str">
        <f>IF(L141=1,"VCIN-"&amp;TEXT(COUNTIF($L$3:L141, "1"), "0"), "")</f>
        <v>VCIN-121</v>
      </c>
      <c r="B141" s="133" t="s">
        <v>43</v>
      </c>
      <c r="C141" s="164" t="s">
        <v>1612</v>
      </c>
      <c r="D141" s="326"/>
      <c r="E141" s="186"/>
      <c r="F141" s="166"/>
      <c r="G141" s="137" t="s">
        <v>101</v>
      </c>
      <c r="I141" s="116">
        <f t="shared" si="18"/>
        <v>1</v>
      </c>
      <c r="J141" s="116">
        <f t="shared" si="19"/>
        <v>0</v>
      </c>
      <c r="K141" s="116">
        <f t="shared" si="20"/>
        <v>0</v>
      </c>
      <c r="L141" s="115">
        <v>1</v>
      </c>
    </row>
    <row r="142" spans="1:12" ht="30" customHeight="1" x14ac:dyDescent="0.3">
      <c r="A142" s="163" t="str">
        <f>IF(L142=1,"VCIN-"&amp;TEXT(COUNTIF($L$3:L142, "1"), "0"), "")</f>
        <v>VCIN-122</v>
      </c>
      <c r="B142" s="169" t="s">
        <v>43</v>
      </c>
      <c r="C142" s="170" t="s">
        <v>1613</v>
      </c>
      <c r="D142" s="327"/>
      <c r="E142" s="186"/>
      <c r="F142" s="166"/>
      <c r="G142" s="137" t="s">
        <v>101</v>
      </c>
      <c r="I142" s="116">
        <f t="shared" si="18"/>
        <v>1</v>
      </c>
      <c r="J142" s="116">
        <f t="shared" si="19"/>
        <v>0</v>
      </c>
      <c r="K142" s="116">
        <f t="shared" si="20"/>
        <v>0</v>
      </c>
      <c r="L142" s="115">
        <v>1</v>
      </c>
    </row>
    <row r="143" spans="1:12" ht="46.8" x14ac:dyDescent="0.3">
      <c r="A143" s="448"/>
      <c r="B143" s="126"/>
      <c r="C143" s="178" t="s">
        <v>1614</v>
      </c>
      <c r="D143" s="130"/>
      <c r="E143" s="235"/>
      <c r="F143" s="235"/>
      <c r="G143" s="606"/>
    </row>
    <row r="144" spans="1:12" x14ac:dyDescent="0.3">
      <c r="A144" s="603"/>
      <c r="B144" s="544"/>
      <c r="C144" s="604" t="s">
        <v>1615</v>
      </c>
      <c r="D144" s="605"/>
      <c r="E144" s="605"/>
      <c r="F144" s="605"/>
      <c r="G144" s="606"/>
    </row>
    <row r="145" spans="1:12" ht="30" customHeight="1" x14ac:dyDescent="0.3">
      <c r="A145" s="163" t="str">
        <f>IF(L145=1,"VCIN-"&amp;TEXT(COUNTIF($L$3:L145, "1"), "0"), "")</f>
        <v>VCIN-123</v>
      </c>
      <c r="B145" s="260" t="s">
        <v>43</v>
      </c>
      <c r="C145" s="319" t="s">
        <v>1616</v>
      </c>
      <c r="D145" s="392"/>
      <c r="E145" s="186"/>
      <c r="F145" s="166"/>
      <c r="G145" s="137" t="s">
        <v>101</v>
      </c>
      <c r="I145" s="116">
        <f>IF(NOT(ISBLANK($B145)),VLOOKUP($B145,specdata,2,FALSE()),"")</f>
        <v>1</v>
      </c>
      <c r="J145" s="116">
        <f>VLOOKUP(G145,AvailabilityData,2,FALSE())</f>
        <v>0</v>
      </c>
      <c r="K145" s="116">
        <f>I145*J145</f>
        <v>0</v>
      </c>
      <c r="L145" s="115">
        <v>1</v>
      </c>
    </row>
    <row r="146" spans="1:12" x14ac:dyDescent="0.3">
      <c r="A146" s="448"/>
      <c r="B146" s="126"/>
      <c r="C146" s="193" t="s">
        <v>1617</v>
      </c>
      <c r="D146" s="130"/>
      <c r="E146" s="130"/>
      <c r="F146" s="130"/>
      <c r="G146" s="606"/>
    </row>
    <row r="147" spans="1:12" ht="30" customHeight="1" x14ac:dyDescent="0.3">
      <c r="A147" s="163" t="str">
        <f>IF(L147=1,"VCIN-"&amp;TEXT(COUNTIF($L$3:L147, "1"), "0"), "")</f>
        <v>VCIN-124</v>
      </c>
      <c r="B147" s="183" t="s">
        <v>43</v>
      </c>
      <c r="C147" s="184" t="s">
        <v>1618</v>
      </c>
      <c r="D147" s="328"/>
      <c r="E147" s="186"/>
      <c r="F147" s="166"/>
      <c r="G147" s="137" t="s">
        <v>101</v>
      </c>
      <c r="I147" s="116">
        <f>IF(NOT(ISBLANK($B147)),VLOOKUP($B147,specdata,2,FALSE()),"")</f>
        <v>1</v>
      </c>
      <c r="J147" s="116">
        <f>VLOOKUP(G147,AvailabilityData,2,FALSE())</f>
        <v>0</v>
      </c>
      <c r="K147" s="116">
        <f>I147*J147</f>
        <v>0</v>
      </c>
      <c r="L147" s="115">
        <v>1</v>
      </c>
    </row>
    <row r="148" spans="1:12" ht="46.8" x14ac:dyDescent="0.3">
      <c r="A148" s="163" t="str">
        <f>IF(L148=1,"VCIN-"&amp;TEXT(COUNTIF($L$3:L148, "1"), "0"), "")</f>
        <v>VCIN-125</v>
      </c>
      <c r="B148" s="133" t="s">
        <v>43</v>
      </c>
      <c r="C148" s="164" t="s">
        <v>1619</v>
      </c>
      <c r="D148" s="326"/>
      <c r="E148" s="186"/>
      <c r="F148" s="166"/>
      <c r="G148" s="137" t="s">
        <v>101</v>
      </c>
      <c r="I148" s="116">
        <f>IF(NOT(ISBLANK($B148)),VLOOKUP($B148,specdata,2,FALSE()),"")</f>
        <v>1</v>
      </c>
      <c r="J148" s="116">
        <f>VLOOKUP(G148,AvailabilityData,2,FALSE())</f>
        <v>0</v>
      </c>
      <c r="K148" s="116">
        <f>I148*J148</f>
        <v>0</v>
      </c>
      <c r="L148" s="115">
        <v>1</v>
      </c>
    </row>
    <row r="149" spans="1:12" ht="46.8" x14ac:dyDescent="0.3">
      <c r="A149" s="163" t="str">
        <f>IF(L149=1,"VCIN-"&amp;TEXT(COUNTIF($L$3:L149, "1"), "0"), "")</f>
        <v>VCIN-126</v>
      </c>
      <c r="B149" s="133" t="s">
        <v>43</v>
      </c>
      <c r="C149" s="164" t="s">
        <v>1620</v>
      </c>
      <c r="D149" s="326"/>
      <c r="E149" s="186"/>
      <c r="F149" s="166"/>
      <c r="G149" s="137" t="s">
        <v>101</v>
      </c>
      <c r="I149" s="116">
        <f>IF(NOT(ISBLANK($B149)),VLOOKUP($B149,specdata,2,FALSE()),"")</f>
        <v>1</v>
      </c>
      <c r="J149" s="116">
        <f>VLOOKUP(G149,AvailabilityData,2,FALSE())</f>
        <v>0</v>
      </c>
      <c r="K149" s="116">
        <f>I149*J149</f>
        <v>0</v>
      </c>
      <c r="L149" s="115">
        <v>1</v>
      </c>
    </row>
    <row r="150" spans="1:12" ht="30" customHeight="1" x14ac:dyDescent="0.3">
      <c r="A150" s="163" t="str">
        <f>IF(L150=1,"VCIN-"&amp;TEXT(COUNTIF($L$3:L150, "1"), "0"), "")</f>
        <v>VCIN-127</v>
      </c>
      <c r="B150" s="133" t="s">
        <v>43</v>
      </c>
      <c r="C150" s="164" t="s">
        <v>1621</v>
      </c>
      <c r="D150" s="326"/>
      <c r="E150" s="186"/>
      <c r="F150" s="166"/>
      <c r="G150" s="137" t="s">
        <v>101</v>
      </c>
      <c r="I150" s="116">
        <f>IF(NOT(ISBLANK($B150)),VLOOKUP($B150,specdata,2,FALSE()),"")</f>
        <v>1</v>
      </c>
      <c r="J150" s="116">
        <f>VLOOKUP(G150,AvailabilityData,2,FALSE())</f>
        <v>0</v>
      </c>
      <c r="K150" s="116">
        <f>I150*J150</f>
        <v>0</v>
      </c>
      <c r="L150" s="115">
        <v>1</v>
      </c>
    </row>
    <row r="151" spans="1:12" ht="30" customHeight="1" x14ac:dyDescent="0.3">
      <c r="A151" s="163" t="str">
        <f>IF(L151=1,"VCIN-"&amp;TEXT(COUNTIF($L$3:L151, "1"), "0"), "")</f>
        <v>VCIN-128</v>
      </c>
      <c r="B151" s="169" t="s">
        <v>43</v>
      </c>
      <c r="C151" s="170" t="s">
        <v>1622</v>
      </c>
      <c r="D151" s="327"/>
      <c r="E151" s="186"/>
      <c r="F151" s="166"/>
      <c r="G151" s="137" t="s">
        <v>101</v>
      </c>
      <c r="I151" s="116">
        <f>IF(NOT(ISBLANK($B151)),VLOOKUP($B151,specdata,2,FALSE()),"")</f>
        <v>1</v>
      </c>
      <c r="J151" s="116">
        <f>VLOOKUP(G151,AvailabilityData,2,FALSE())</f>
        <v>0</v>
      </c>
      <c r="K151" s="116">
        <f>I151*J151</f>
        <v>0</v>
      </c>
      <c r="L151" s="115">
        <v>1</v>
      </c>
    </row>
    <row r="152" spans="1:12" x14ac:dyDescent="0.3">
      <c r="A152" s="448"/>
      <c r="B152" s="126"/>
      <c r="C152" s="193" t="s">
        <v>1623</v>
      </c>
      <c r="D152" s="130"/>
      <c r="E152" s="130"/>
      <c r="F152" s="130"/>
      <c r="G152" s="606"/>
    </row>
    <row r="153" spans="1:12" ht="30" customHeight="1" x14ac:dyDescent="0.3">
      <c r="A153" s="163" t="str">
        <f>IF(L153=1,"VCIN-"&amp;TEXT(COUNTIF($L$3:L153, "1"), "0"), "")</f>
        <v>VCIN-129</v>
      </c>
      <c r="B153" s="183" t="s">
        <v>43</v>
      </c>
      <c r="C153" s="184" t="s">
        <v>1624</v>
      </c>
      <c r="D153" s="328"/>
      <c r="E153" s="186"/>
      <c r="F153" s="166"/>
      <c r="G153" s="137" t="s">
        <v>101</v>
      </c>
      <c r="I153" s="116">
        <f t="shared" ref="I153:I160" si="21">IF(NOT(ISBLANK($B153)),VLOOKUP($B153,specdata,2,FALSE()),"")</f>
        <v>1</v>
      </c>
      <c r="J153" s="116">
        <f t="shared" ref="J153:J160" si="22">VLOOKUP(G153,AvailabilityData,2,FALSE())</f>
        <v>0</v>
      </c>
      <c r="K153" s="116">
        <f t="shared" ref="K153:K160" si="23">I153*J153</f>
        <v>0</v>
      </c>
      <c r="L153" s="115">
        <v>1</v>
      </c>
    </row>
    <row r="154" spans="1:12" ht="30" customHeight="1" x14ac:dyDescent="0.3">
      <c r="A154" s="163" t="str">
        <f>IF(L154=1,"VCIN-"&amp;TEXT(COUNTIF($L$3:L154, "1"), "0"), "")</f>
        <v>VCIN-130</v>
      </c>
      <c r="B154" s="133" t="s">
        <v>43</v>
      </c>
      <c r="C154" s="164" t="s">
        <v>1625</v>
      </c>
      <c r="D154" s="326"/>
      <c r="E154" s="186"/>
      <c r="F154" s="166"/>
      <c r="G154" s="137" t="s">
        <v>101</v>
      </c>
      <c r="I154" s="116">
        <f t="shared" si="21"/>
        <v>1</v>
      </c>
      <c r="J154" s="116">
        <f t="shared" si="22"/>
        <v>0</v>
      </c>
      <c r="K154" s="116">
        <f t="shared" si="23"/>
        <v>0</v>
      </c>
      <c r="L154" s="115">
        <v>1</v>
      </c>
    </row>
    <row r="155" spans="1:12" ht="30" customHeight="1" x14ac:dyDescent="0.3">
      <c r="A155" s="163" t="str">
        <f>IF(L155=1,"VCIN-"&amp;TEXT(COUNTIF($L$3:L155, "1"), "0"), "")</f>
        <v>VCIN-131</v>
      </c>
      <c r="B155" s="133" t="s">
        <v>43</v>
      </c>
      <c r="C155" s="164" t="s">
        <v>1626</v>
      </c>
      <c r="D155" s="326"/>
      <c r="E155" s="186"/>
      <c r="F155" s="166"/>
      <c r="G155" s="137" t="s">
        <v>101</v>
      </c>
      <c r="I155" s="116">
        <f t="shared" si="21"/>
        <v>1</v>
      </c>
      <c r="J155" s="116">
        <f t="shared" si="22"/>
        <v>0</v>
      </c>
      <c r="K155" s="116">
        <f t="shared" si="23"/>
        <v>0</v>
      </c>
      <c r="L155" s="115">
        <v>1</v>
      </c>
    </row>
    <row r="156" spans="1:12" ht="30" customHeight="1" x14ac:dyDescent="0.3">
      <c r="A156" s="163" t="str">
        <f>IF(L156=1,"VCIN-"&amp;TEXT(COUNTIF($L$3:L156, "1"), "0"), "")</f>
        <v>VCIN-132</v>
      </c>
      <c r="B156" s="133" t="s">
        <v>43</v>
      </c>
      <c r="C156" s="164" t="s">
        <v>1627</v>
      </c>
      <c r="D156" s="326"/>
      <c r="E156" s="186"/>
      <c r="F156" s="166"/>
      <c r="G156" s="137" t="s">
        <v>101</v>
      </c>
      <c r="I156" s="116">
        <f t="shared" si="21"/>
        <v>1</v>
      </c>
      <c r="J156" s="116">
        <f t="shared" si="22"/>
        <v>0</v>
      </c>
      <c r="K156" s="116">
        <f t="shared" si="23"/>
        <v>0</v>
      </c>
      <c r="L156" s="115">
        <v>1</v>
      </c>
    </row>
    <row r="157" spans="1:12" ht="30" customHeight="1" x14ac:dyDescent="0.3">
      <c r="A157" s="163" t="str">
        <f>IF(L157=1,"VCIN-"&amp;TEXT(COUNTIF($L$3:L157, "1"), "0"), "")</f>
        <v>VCIN-133</v>
      </c>
      <c r="B157" s="133" t="s">
        <v>43</v>
      </c>
      <c r="C157" s="164" t="s">
        <v>1628</v>
      </c>
      <c r="D157" s="326"/>
      <c r="E157" s="186"/>
      <c r="F157" s="166"/>
      <c r="G157" s="137" t="s">
        <v>101</v>
      </c>
      <c r="I157" s="116">
        <f t="shared" si="21"/>
        <v>1</v>
      </c>
      <c r="J157" s="116">
        <f t="shared" si="22"/>
        <v>0</v>
      </c>
      <c r="K157" s="116">
        <f t="shared" si="23"/>
        <v>0</v>
      </c>
      <c r="L157" s="115">
        <v>1</v>
      </c>
    </row>
    <row r="158" spans="1:12" ht="30" customHeight="1" x14ac:dyDescent="0.3">
      <c r="A158" s="163" t="str">
        <f>IF(L158=1,"VCIN-"&amp;TEXT(COUNTIF($L$3:L158, "1"), "0"), "")</f>
        <v>VCIN-134</v>
      </c>
      <c r="B158" s="133" t="s">
        <v>43</v>
      </c>
      <c r="C158" s="164" t="s">
        <v>1629</v>
      </c>
      <c r="D158" s="326"/>
      <c r="E158" s="186"/>
      <c r="F158" s="166"/>
      <c r="G158" s="137" t="s">
        <v>101</v>
      </c>
      <c r="I158" s="116">
        <f t="shared" si="21"/>
        <v>1</v>
      </c>
      <c r="J158" s="116">
        <f t="shared" si="22"/>
        <v>0</v>
      </c>
      <c r="K158" s="116">
        <f t="shared" si="23"/>
        <v>0</v>
      </c>
      <c r="L158" s="115">
        <v>1</v>
      </c>
    </row>
    <row r="159" spans="1:12" ht="30" customHeight="1" x14ac:dyDescent="0.3">
      <c r="A159" s="163" t="str">
        <f>IF(L159=1,"VCIN-"&amp;TEXT(COUNTIF($L$3:L159, "1"), "0"), "")</f>
        <v>VCIN-135</v>
      </c>
      <c r="B159" s="133" t="s">
        <v>43</v>
      </c>
      <c r="C159" s="164" t="s">
        <v>1630</v>
      </c>
      <c r="D159" s="326"/>
      <c r="E159" s="186"/>
      <c r="F159" s="166"/>
      <c r="G159" s="137" t="s">
        <v>101</v>
      </c>
      <c r="I159" s="116">
        <f t="shared" si="21"/>
        <v>1</v>
      </c>
      <c r="J159" s="116">
        <f t="shared" si="22"/>
        <v>0</v>
      </c>
      <c r="K159" s="116">
        <f t="shared" si="23"/>
        <v>0</v>
      </c>
      <c r="L159" s="115">
        <v>1</v>
      </c>
    </row>
    <row r="160" spans="1:12" ht="30" customHeight="1" x14ac:dyDescent="0.3">
      <c r="A160" s="163" t="str">
        <f>IF(L160=1,"VCIN-"&amp;TEXT(COUNTIF($L$3:L160, "1"), "0"), "")</f>
        <v>VCIN-136</v>
      </c>
      <c r="B160" s="169" t="s">
        <v>43</v>
      </c>
      <c r="C160" s="170" t="s">
        <v>1631</v>
      </c>
      <c r="D160" s="327"/>
      <c r="E160" s="186"/>
      <c r="F160" s="166"/>
      <c r="G160" s="137" t="s">
        <v>101</v>
      </c>
      <c r="I160" s="116">
        <f t="shared" si="21"/>
        <v>1</v>
      </c>
      <c r="J160" s="116">
        <f t="shared" si="22"/>
        <v>0</v>
      </c>
      <c r="K160" s="116">
        <f t="shared" si="23"/>
        <v>0</v>
      </c>
      <c r="L160" s="115">
        <v>1</v>
      </c>
    </row>
    <row r="161" spans="1:12" x14ac:dyDescent="0.3">
      <c r="A161" s="607"/>
      <c r="B161" s="284"/>
      <c r="C161" s="608" t="s">
        <v>168</v>
      </c>
      <c r="D161" s="235"/>
      <c r="E161" s="235"/>
      <c r="F161" s="235"/>
      <c r="G161" s="606"/>
    </row>
    <row r="162" spans="1:12" x14ac:dyDescent="0.3">
      <c r="A162" s="448"/>
      <c r="B162" s="126"/>
      <c r="C162" s="178" t="s">
        <v>1632</v>
      </c>
      <c r="D162" s="130"/>
      <c r="E162" s="130"/>
      <c r="F162" s="130"/>
      <c r="G162" s="606"/>
    </row>
    <row r="163" spans="1:12" ht="30" customHeight="1" x14ac:dyDescent="0.3">
      <c r="A163" s="163" t="str">
        <f>IF(L163=1,"VCIN-"&amp;TEXT(COUNTIF($L$3:L163, "1"), "0"), "")</f>
        <v>VCIN-137</v>
      </c>
      <c r="B163" s="183" t="s">
        <v>43</v>
      </c>
      <c r="C163" s="278" t="s">
        <v>170</v>
      </c>
      <c r="D163" s="328"/>
      <c r="E163" s="186"/>
      <c r="F163" s="166"/>
      <c r="G163" s="137" t="s">
        <v>101</v>
      </c>
      <c r="I163" s="116">
        <f>IF(NOT(ISBLANK($B163)),VLOOKUP($B163,specdata,2,FALSE()),"")</f>
        <v>1</v>
      </c>
      <c r="J163" s="116">
        <f>VLOOKUP(G163,AvailabilityData,2,FALSE())</f>
        <v>0</v>
      </c>
      <c r="K163" s="116">
        <f>I163*J163</f>
        <v>0</v>
      </c>
      <c r="L163" s="115">
        <v>1</v>
      </c>
    </row>
    <row r="164" spans="1:12" ht="30" customHeight="1" x14ac:dyDescent="0.3">
      <c r="A164" s="163" t="str">
        <f>IF(L164=1,"VCIN-"&amp;TEXT(COUNTIF($L$3:L164, "1"), "0"), "")</f>
        <v>VCIN-138</v>
      </c>
      <c r="B164" s="644" t="s">
        <v>43</v>
      </c>
      <c r="C164" s="154" t="s">
        <v>171</v>
      </c>
      <c r="D164" s="326"/>
      <c r="E164" s="186"/>
      <c r="F164" s="166"/>
      <c r="G164" s="137" t="s">
        <v>101</v>
      </c>
      <c r="I164" s="116">
        <f>IF(NOT(ISBLANK($B164)),VLOOKUP($B164,specdata,2,FALSE()),"")</f>
        <v>1</v>
      </c>
      <c r="J164" s="116">
        <f>VLOOKUP(G164,AvailabilityData,2,FALSE())</f>
        <v>0</v>
      </c>
      <c r="K164" s="116">
        <f>I164*J164</f>
        <v>0</v>
      </c>
      <c r="L164" s="115">
        <v>1</v>
      </c>
    </row>
    <row r="165" spans="1:12" ht="30" customHeight="1" x14ac:dyDescent="0.3">
      <c r="A165" s="163" t="str">
        <f>IF(L165=1,"VCIN-"&amp;TEXT(COUNTIF($L$3:L165, "1"), "0"), "")</f>
        <v>VCIN-139</v>
      </c>
      <c r="B165" s="644" t="s">
        <v>43</v>
      </c>
      <c r="C165" s="154" t="s">
        <v>172</v>
      </c>
      <c r="D165" s="326"/>
      <c r="E165" s="186"/>
      <c r="F165" s="166"/>
      <c r="G165" s="137" t="s">
        <v>101</v>
      </c>
      <c r="I165" s="116">
        <f>IF(NOT(ISBLANK($B165)),VLOOKUP($B165,specdata,2,FALSE()),"")</f>
        <v>1</v>
      </c>
      <c r="J165" s="116">
        <f>VLOOKUP(G165,AvailabilityData,2,FALSE())</f>
        <v>0</v>
      </c>
      <c r="K165" s="116">
        <f>I165*J165</f>
        <v>0</v>
      </c>
      <c r="L165" s="115">
        <v>1</v>
      </c>
    </row>
    <row r="166" spans="1:12" ht="30" customHeight="1" x14ac:dyDescent="0.3">
      <c r="A166" s="163" t="str">
        <f>IF(L166=1,"VCIN-"&amp;TEXT(COUNTIF($L$3:L166, "1"), "0"), "")</f>
        <v>VCIN-140</v>
      </c>
      <c r="B166" s="727" t="s">
        <v>43</v>
      </c>
      <c r="C166" s="273" t="s">
        <v>173</v>
      </c>
      <c r="D166" s="327"/>
      <c r="E166" s="186"/>
      <c r="F166" s="166"/>
      <c r="G166" s="137" t="s">
        <v>101</v>
      </c>
      <c r="I166" s="116">
        <f>IF(NOT(ISBLANK($B166)),VLOOKUP($B166,specdata,2,FALSE()),"")</f>
        <v>1</v>
      </c>
      <c r="J166" s="116">
        <f>VLOOKUP(G166,AvailabilityData,2,FALSE())</f>
        <v>0</v>
      </c>
      <c r="K166" s="116">
        <f>I166*J166</f>
        <v>0</v>
      </c>
      <c r="L166" s="115">
        <v>1</v>
      </c>
    </row>
    <row r="167" spans="1:12" x14ac:dyDescent="0.3">
      <c r="A167" s="607"/>
      <c r="B167" s="284"/>
      <c r="C167" s="608" t="s">
        <v>1633</v>
      </c>
      <c r="D167" s="235"/>
      <c r="E167" s="235"/>
      <c r="F167" s="235"/>
      <c r="G167" s="606"/>
    </row>
    <row r="168" spans="1:12" ht="30" customHeight="1" x14ac:dyDescent="0.3">
      <c r="A168" s="448"/>
      <c r="B168" s="126"/>
      <c r="C168" s="178" t="s">
        <v>1634</v>
      </c>
      <c r="D168" s="130"/>
      <c r="E168" s="130"/>
      <c r="F168" s="130"/>
      <c r="G168" s="606"/>
    </row>
    <row r="169" spans="1:12" ht="30" customHeight="1" x14ac:dyDescent="0.3">
      <c r="A169" s="132" t="s">
        <v>1635</v>
      </c>
      <c r="B169" s="183" t="s">
        <v>43</v>
      </c>
      <c r="C169" s="184" t="s">
        <v>1636</v>
      </c>
      <c r="D169" s="328"/>
      <c r="E169" s="186"/>
      <c r="F169" s="166"/>
      <c r="G169" s="137" t="s">
        <v>101</v>
      </c>
      <c r="I169" s="116">
        <f t="shared" ref="I169:I175" si="24">IF(NOT(ISBLANK($B169)),VLOOKUP($B169,specdata,2,FALSE()),"")</f>
        <v>1</v>
      </c>
      <c r="J169" s="116">
        <f t="shared" ref="J169:J175" si="25">VLOOKUP(G169,AvailabilityData,2,FALSE())</f>
        <v>0</v>
      </c>
      <c r="K169" s="116">
        <f t="shared" ref="K169:K175" si="26">I169*J169</f>
        <v>0</v>
      </c>
      <c r="L169" s="115">
        <v>1</v>
      </c>
    </row>
    <row r="170" spans="1:12" ht="46.8" x14ac:dyDescent="0.3">
      <c r="A170" s="163" t="str">
        <f>IF(L170=1,"VCIN-"&amp;TEXT(COUNTIF($L$3:L170, "1"), "0"), "")</f>
        <v>VCIN-142</v>
      </c>
      <c r="B170" s="133" t="s">
        <v>43</v>
      </c>
      <c r="C170" s="164" t="s">
        <v>1637</v>
      </c>
      <c r="D170" s="326"/>
      <c r="E170" s="186"/>
      <c r="F170" s="166"/>
      <c r="G170" s="137" t="s">
        <v>101</v>
      </c>
      <c r="I170" s="116">
        <f t="shared" si="24"/>
        <v>1</v>
      </c>
      <c r="J170" s="116">
        <f t="shared" si="25"/>
        <v>0</v>
      </c>
      <c r="K170" s="116">
        <f t="shared" si="26"/>
        <v>0</v>
      </c>
      <c r="L170" s="115">
        <v>1</v>
      </c>
    </row>
    <row r="171" spans="1:12" ht="30" customHeight="1" x14ac:dyDescent="0.3">
      <c r="A171" s="163" t="str">
        <f>IF(L171=1,"VCIN-"&amp;TEXT(COUNTIF($L$3:L171, "1"), "0"), "")</f>
        <v>VCIN-143</v>
      </c>
      <c r="B171" s="133" t="s">
        <v>43</v>
      </c>
      <c r="C171" s="164" t="s">
        <v>1638</v>
      </c>
      <c r="D171" s="326"/>
      <c r="E171" s="186"/>
      <c r="F171" s="166"/>
      <c r="G171" s="137" t="s">
        <v>101</v>
      </c>
      <c r="I171" s="116">
        <f t="shared" si="24"/>
        <v>1</v>
      </c>
      <c r="J171" s="116">
        <f t="shared" si="25"/>
        <v>0</v>
      </c>
      <c r="K171" s="116">
        <f t="shared" si="26"/>
        <v>0</v>
      </c>
      <c r="L171" s="115">
        <v>1</v>
      </c>
    </row>
    <row r="172" spans="1:12" ht="30" customHeight="1" x14ac:dyDescent="0.3">
      <c r="A172" s="163" t="str">
        <f>IF(L172=1,"VCIN-"&amp;TEXT(COUNTIF($L$3:L172, "1"), "0"), "")</f>
        <v>VCIN-144</v>
      </c>
      <c r="B172" s="133" t="s">
        <v>43</v>
      </c>
      <c r="C172" s="164" t="s">
        <v>1639</v>
      </c>
      <c r="D172" s="326"/>
      <c r="E172" s="186"/>
      <c r="F172" s="166"/>
      <c r="G172" s="137" t="s">
        <v>101</v>
      </c>
      <c r="I172" s="116">
        <f t="shared" si="24"/>
        <v>1</v>
      </c>
      <c r="J172" s="116">
        <f t="shared" si="25"/>
        <v>0</v>
      </c>
      <c r="K172" s="116">
        <f t="shared" si="26"/>
        <v>0</v>
      </c>
      <c r="L172" s="115">
        <v>1</v>
      </c>
    </row>
    <row r="173" spans="1:12" ht="30" customHeight="1" x14ac:dyDescent="0.3">
      <c r="A173" s="163" t="str">
        <f>IF(L173=1,"VCIN-"&amp;TEXT(COUNTIF($L$3:L173, "1"), "0"), "")</f>
        <v>VCIN-145</v>
      </c>
      <c r="B173" s="133" t="s">
        <v>43</v>
      </c>
      <c r="C173" s="164" t="s">
        <v>1640</v>
      </c>
      <c r="D173" s="326"/>
      <c r="E173" s="186"/>
      <c r="F173" s="166"/>
      <c r="G173" s="137" t="s">
        <v>101</v>
      </c>
      <c r="I173" s="116">
        <f t="shared" si="24"/>
        <v>1</v>
      </c>
      <c r="J173" s="116">
        <f t="shared" si="25"/>
        <v>0</v>
      </c>
      <c r="K173" s="116">
        <f t="shared" si="26"/>
        <v>0</v>
      </c>
      <c r="L173" s="115">
        <v>1</v>
      </c>
    </row>
    <row r="174" spans="1:12" ht="30" customHeight="1" x14ac:dyDescent="0.3">
      <c r="A174" s="163" t="str">
        <f>IF(L174=1,"VCIN-"&amp;TEXT(COUNTIF($L$3:L174, "1"), "0"), "")</f>
        <v>VCIN-146</v>
      </c>
      <c r="B174" s="133" t="s">
        <v>43</v>
      </c>
      <c r="C174" s="164" t="s">
        <v>1641</v>
      </c>
      <c r="D174" s="326"/>
      <c r="E174" s="186"/>
      <c r="F174" s="166"/>
      <c r="G174" s="137" t="s">
        <v>101</v>
      </c>
      <c r="I174" s="116">
        <f t="shared" si="24"/>
        <v>1</v>
      </c>
      <c r="J174" s="116">
        <f t="shared" si="25"/>
        <v>0</v>
      </c>
      <c r="K174" s="116">
        <f t="shared" si="26"/>
        <v>0</v>
      </c>
      <c r="L174" s="115">
        <v>1</v>
      </c>
    </row>
    <row r="175" spans="1:12" ht="30" customHeight="1" x14ac:dyDescent="0.3">
      <c r="A175" s="163" t="str">
        <f>IF(L175=1,"VCIN-"&amp;TEXT(COUNTIF($L$3:L175, "1"), "0"), "")</f>
        <v>VCIN-147</v>
      </c>
      <c r="B175" s="169" t="s">
        <v>43</v>
      </c>
      <c r="C175" s="170" t="s">
        <v>1642</v>
      </c>
      <c r="D175" s="327"/>
      <c r="E175" s="186"/>
      <c r="F175" s="166"/>
      <c r="G175" s="137" t="s">
        <v>101</v>
      </c>
      <c r="I175" s="116">
        <f t="shared" si="24"/>
        <v>1</v>
      </c>
      <c r="J175" s="116">
        <f t="shared" si="25"/>
        <v>0</v>
      </c>
      <c r="K175" s="116">
        <f t="shared" si="26"/>
        <v>0</v>
      </c>
      <c r="L175" s="115">
        <v>1</v>
      </c>
    </row>
    <row r="176" spans="1:12" x14ac:dyDescent="0.3">
      <c r="A176" s="448"/>
      <c r="B176" s="126"/>
      <c r="C176" s="193" t="s">
        <v>174</v>
      </c>
      <c r="D176" s="130"/>
      <c r="E176" s="130"/>
      <c r="F176" s="130"/>
      <c r="G176" s="606"/>
    </row>
    <row r="177" spans="1:12" ht="46.8" x14ac:dyDescent="0.3">
      <c r="A177" s="163" t="str">
        <f>IF(L177=1,"VCIN-"&amp;TEXT(COUNTIF($L$3:L177, "1"), "0"), "")</f>
        <v>VCIN-148</v>
      </c>
      <c r="B177" s="169" t="s">
        <v>43</v>
      </c>
      <c r="C177" s="184" t="s">
        <v>1643</v>
      </c>
      <c r="D177" s="328"/>
      <c r="E177" s="186"/>
      <c r="F177" s="166"/>
      <c r="G177" s="137" t="s">
        <v>101</v>
      </c>
      <c r="I177" s="116">
        <f>IF(NOT(ISBLANK($B177)),VLOOKUP($B177,specdata,2,FALSE()),"")</f>
        <v>1</v>
      </c>
      <c r="J177" s="116">
        <f>VLOOKUP(G177,AvailabilityData,2,FALSE())</f>
        <v>0</v>
      </c>
      <c r="K177" s="116">
        <f>I177*J177</f>
        <v>0</v>
      </c>
      <c r="L177" s="115">
        <v>1</v>
      </c>
    </row>
    <row r="178" spans="1:12" ht="31.2" x14ac:dyDescent="0.3">
      <c r="A178" s="163" t="str">
        <f>IF(L178=1,"VCIN-"&amp;TEXT(COUNTIF($L$3:L178, "1"), "0"), "")</f>
        <v>VCIN-149</v>
      </c>
      <c r="B178" s="169" t="s">
        <v>43</v>
      </c>
      <c r="C178" s="164" t="s">
        <v>1644</v>
      </c>
      <c r="D178" s="326"/>
      <c r="E178" s="186"/>
      <c r="F178" s="166"/>
      <c r="G178" s="137" t="s">
        <v>101</v>
      </c>
      <c r="I178" s="116">
        <f>IF(NOT(ISBLANK($B178)),VLOOKUP($B178,specdata,2,FALSE()),"")</f>
        <v>1</v>
      </c>
      <c r="J178" s="116">
        <f>VLOOKUP(G178,AvailabilityData,2,FALSE())</f>
        <v>0</v>
      </c>
      <c r="K178" s="116">
        <f>I178*J178</f>
        <v>0</v>
      </c>
      <c r="L178" s="115">
        <v>1</v>
      </c>
    </row>
    <row r="179" spans="1:12" ht="46.8" x14ac:dyDescent="0.3">
      <c r="A179" s="163" t="str">
        <f>IF(L179=1,"VCIN-"&amp;TEXT(COUNTIF($L$3:L179, "1"), "0"), "")</f>
        <v>VCIN-150</v>
      </c>
      <c r="B179" s="169" t="s">
        <v>43</v>
      </c>
      <c r="C179" s="164" t="s">
        <v>1645</v>
      </c>
      <c r="D179" s="326"/>
      <c r="E179" s="186"/>
      <c r="F179" s="166"/>
      <c r="G179" s="137" t="s">
        <v>101</v>
      </c>
      <c r="I179" s="116">
        <f>IF(NOT(ISBLANK($B179)),VLOOKUP($B179,specdata,2,FALSE()),"")</f>
        <v>1</v>
      </c>
      <c r="J179" s="116">
        <f>VLOOKUP(G179,AvailabilityData,2,FALSE())</f>
        <v>0</v>
      </c>
      <c r="K179" s="116">
        <f>I179*J179</f>
        <v>0</v>
      </c>
      <c r="L179" s="115">
        <v>1</v>
      </c>
    </row>
    <row r="180" spans="1:12" ht="30" customHeight="1" x14ac:dyDescent="0.3">
      <c r="A180" s="163" t="str">
        <f>IF(L180=1,"VCIN-"&amp;TEXT(COUNTIF($L$3:L180, "1"), "0"), "")</f>
        <v>VCIN-151</v>
      </c>
      <c r="B180" s="133" t="s">
        <v>43</v>
      </c>
      <c r="C180" s="164" t="s">
        <v>1646</v>
      </c>
      <c r="D180" s="326"/>
      <c r="E180" s="168"/>
      <c r="F180" s="137"/>
      <c r="G180" s="137" t="s">
        <v>101</v>
      </c>
      <c r="I180" s="116">
        <f>IF(NOT(ISBLANK($B180)),VLOOKUP($B180,specdata,2,FALSE()),"")</f>
        <v>1</v>
      </c>
      <c r="J180" s="116">
        <f>VLOOKUP(G180,AvailabilityData,2,FALSE())</f>
        <v>0</v>
      </c>
      <c r="K180" s="116">
        <f>I180*J180</f>
        <v>0</v>
      </c>
      <c r="L180" s="115">
        <v>1</v>
      </c>
    </row>
  </sheetData>
  <sheetProtection algorithmName="SHA-512" hashValue="rnDKs6XJTsDmiBHuy8hB6VrNQUPLl/ECRFDmogtxUcbOjUJgPuaT/qeoAbGgvg0lOZAW4uz77L43HbZnUM/AkQ==" saltValue="bLuh71osrKasR94CToupHg==" spinCount="100000" sheet="1" objects="1" scenarios="1"/>
  <mergeCells count="1">
    <mergeCell ref="O3:Q6"/>
  </mergeCells>
  <conditionalFormatting sqref="B1:B1048576">
    <cfRule type="cellIs" dxfId="34" priority="2" operator="equal">
      <formula>"Informational"</formula>
    </cfRule>
    <cfRule type="cellIs" dxfId="33" priority="3" operator="equal">
      <formula>"Mandatory"</formula>
    </cfRule>
    <cfRule type="cellIs" dxfId="32" priority="4" operator="equal">
      <formula>"Not Needed"</formula>
    </cfRule>
    <cfRule type="cellIs" dxfId="31" priority="5" operator="equal">
      <formula>"Extremely Advantageous"</formula>
    </cfRule>
    <cfRule type="cellIs" dxfId="30" priority="6" operator="equal">
      <formula>"Critical"</formula>
    </cfRule>
  </conditionalFormatting>
  <conditionalFormatting sqref="G1:G1048576">
    <cfRule type="cellIs" dxfId="29" priority="7" operator="equal">
      <formula>"Exception"</formula>
    </cfRule>
  </conditionalFormatting>
  <conditionalFormatting sqref="G3:G88 G90:G92 G101:G102">
    <cfRule type="cellIs" dxfId="28" priority="20" operator="equal">
      <formula>"Select from Drop Down List"</formula>
    </cfRule>
  </conditionalFormatting>
  <conditionalFormatting sqref="G94:G99 G104 G106:G108">
    <cfRule type="cellIs" dxfId="27" priority="19" operator="equal">
      <formula>"Select from Drop Down List"</formula>
    </cfRule>
  </conditionalFormatting>
  <conditionalFormatting sqref="G110:G114">
    <cfRule type="cellIs" dxfId="26" priority="18" operator="equal">
      <formula>"Select from Drop Down List"</formula>
    </cfRule>
  </conditionalFormatting>
  <conditionalFormatting sqref="G116:G120">
    <cfRule type="cellIs" dxfId="25" priority="17" operator="equal">
      <formula>"Select from Drop Down List"</formula>
    </cfRule>
  </conditionalFormatting>
  <conditionalFormatting sqref="G122:G123">
    <cfRule type="cellIs" dxfId="24" priority="16" operator="equal">
      <formula>"Select from Drop Down List"</formula>
    </cfRule>
  </conditionalFormatting>
  <conditionalFormatting sqref="G125 G127:G129 G131:G134">
    <cfRule type="cellIs" dxfId="23" priority="15" operator="equal">
      <formula>"Select from Drop Down List"</formula>
    </cfRule>
  </conditionalFormatting>
  <conditionalFormatting sqref="G136:G142">
    <cfRule type="cellIs" dxfId="22" priority="14" operator="equal">
      <formula>"Select from Drop Down List"</formula>
    </cfRule>
  </conditionalFormatting>
  <conditionalFormatting sqref="G145">
    <cfRule type="cellIs" dxfId="21" priority="13" operator="equal">
      <formula>"Select from Drop Down List"</formula>
    </cfRule>
  </conditionalFormatting>
  <conditionalFormatting sqref="G147:G151">
    <cfRule type="cellIs" dxfId="20" priority="12" operator="equal">
      <formula>"Select from Drop Down List"</formula>
    </cfRule>
  </conditionalFormatting>
  <conditionalFormatting sqref="G153:G160">
    <cfRule type="cellIs" dxfId="19" priority="11" operator="equal">
      <formula>"Select from Drop Down List"</formula>
    </cfRule>
  </conditionalFormatting>
  <conditionalFormatting sqref="G163:G166">
    <cfRule type="cellIs" dxfId="18" priority="10" operator="equal">
      <formula>"Select from Drop Down List"</formula>
    </cfRule>
  </conditionalFormatting>
  <conditionalFormatting sqref="G169:G175">
    <cfRule type="cellIs" dxfId="17" priority="9" operator="equal">
      <formula>"Select from Drop Down List"</formula>
    </cfRule>
  </conditionalFormatting>
  <conditionalFormatting sqref="G177:G180">
    <cfRule type="cellIs" dxfId="16" priority="8"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86" xr:uid="{00000000-0002-0000-3000-000000000000}">
      <formula1>SpecType</formula1>
      <formula2>0</formula2>
    </dataValidation>
    <dataValidation type="list" allowBlank="1" showInputMessage="1" showErrorMessage="1" sqref="G177:G180 G90:G92 G94:G99 G101:G102 G104 G106:G108 G110:G114 G116:G120 G122:G123 G125 G127:G129 G131:G134 G136:G142 G145 G147:G151 G153:G160 G163:G166 G169:G175 G3 G5:G8 G10:G16 G18:G31 G33:G56 G58:G81 G83:G88" xr:uid="{00000000-0002-0000-30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0000"/>
    <pageSetUpPr fitToPage="1"/>
  </sheetPr>
  <dimension ref="A1:L153"/>
  <sheetViews>
    <sheetView zoomScale="55" zoomScaleNormal="55" zoomScalePageLayoutView="90" workbookViewId="0">
      <selection activeCell="A19" sqref="A19"/>
    </sheetView>
  </sheetViews>
  <sheetFormatPr defaultColWidth="9" defaultRowHeight="15.6" x14ac:dyDescent="0.3"/>
  <cols>
    <col min="1" max="1" width="12.59765625" style="113" customWidth="1"/>
    <col min="2" max="2" width="14.59765625" style="113" customWidth="1"/>
    <col min="3" max="3" width="65.59765625" style="114" customWidth="1"/>
    <col min="4" max="4" width="65.59765625" style="115" customWidth="1"/>
    <col min="5" max="5" width="10.59765625" style="115" customWidth="1"/>
    <col min="6" max="6" width="6.59765625" style="115" customWidth="1"/>
    <col min="7" max="7" width="30.59765625" style="115" customWidth="1"/>
    <col min="8" max="11" width="8.59765625" style="115" customWidth="1"/>
    <col min="12" max="16384" width="9" style="115"/>
  </cols>
  <sheetData>
    <row r="1" spans="1:11" s="124" customFormat="1" ht="105" customHeight="1" x14ac:dyDescent="0.25">
      <c r="A1" s="119" t="s">
        <v>102</v>
      </c>
      <c r="B1" s="119" t="s">
        <v>103</v>
      </c>
      <c r="C1" s="558"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row>
    <row r="2" spans="1:11" x14ac:dyDescent="0.3">
      <c r="A2" s="559"/>
      <c r="B2" s="560"/>
      <c r="C2" s="561"/>
      <c r="D2" s="562"/>
      <c r="E2" s="563"/>
      <c r="F2" s="563"/>
      <c r="G2" s="563"/>
      <c r="H2" s="355">
        <f>COUNTA(B3:B92)</f>
        <v>8</v>
      </c>
      <c r="K2" s="115">
        <f>SUM(K3:K92)</f>
        <v>0</v>
      </c>
    </row>
    <row r="3" spans="1:11" x14ac:dyDescent="0.3">
      <c r="A3" s="132" t="s">
        <v>1647</v>
      </c>
      <c r="B3" s="133" t="s">
        <v>44</v>
      </c>
      <c r="C3" s="134" t="s">
        <v>1648</v>
      </c>
      <c r="D3" s="138"/>
      <c r="E3" s="168"/>
      <c r="F3" s="166"/>
      <c r="G3" s="137"/>
      <c r="H3" s="131"/>
      <c r="I3" s="116"/>
      <c r="J3" s="116"/>
      <c r="K3" s="116"/>
    </row>
    <row r="4" spans="1:11" ht="30" customHeight="1" x14ac:dyDescent="0.3">
      <c r="A4" s="132" t="s">
        <v>1649</v>
      </c>
      <c r="B4" s="169" t="s">
        <v>44</v>
      </c>
      <c r="C4" s="271" t="s">
        <v>1650</v>
      </c>
      <c r="D4" s="323"/>
      <c r="E4" s="175"/>
      <c r="F4" s="173"/>
      <c r="G4" s="176"/>
      <c r="H4" s="131"/>
      <c r="I4" s="116"/>
      <c r="J4" s="116"/>
      <c r="K4" s="116"/>
    </row>
    <row r="5" spans="1:11" x14ac:dyDescent="0.3">
      <c r="A5" s="132" t="s">
        <v>1651</v>
      </c>
      <c r="B5" s="133" t="s">
        <v>43</v>
      </c>
      <c r="C5" s="134" t="s">
        <v>1652</v>
      </c>
      <c r="D5" s="194"/>
      <c r="E5" s="180"/>
      <c r="F5" s="181"/>
      <c r="G5" s="182"/>
      <c r="H5" s="131"/>
      <c r="I5" s="116"/>
      <c r="J5" s="116"/>
      <c r="K5" s="116"/>
    </row>
    <row r="6" spans="1:11" ht="30" customHeight="1" x14ac:dyDescent="0.3">
      <c r="A6" s="132" t="s">
        <v>1653</v>
      </c>
      <c r="B6" s="169" t="s">
        <v>44</v>
      </c>
      <c r="C6" s="271" t="s">
        <v>1654</v>
      </c>
      <c r="D6" s="138"/>
      <c r="E6" s="168"/>
      <c r="F6" s="173"/>
      <c r="G6" s="137"/>
      <c r="H6" s="140"/>
      <c r="I6" s="116"/>
      <c r="J6" s="116"/>
      <c r="K6" s="116"/>
    </row>
    <row r="7" spans="1:11" ht="30" customHeight="1" x14ac:dyDescent="0.3">
      <c r="A7" s="259" t="s">
        <v>1247</v>
      </c>
      <c r="B7" s="183" t="s">
        <v>44</v>
      </c>
      <c r="C7" s="134" t="s">
        <v>1655</v>
      </c>
      <c r="D7" s="138"/>
      <c r="E7" s="168"/>
      <c r="F7" s="137"/>
      <c r="G7" s="240"/>
      <c r="H7" s="140"/>
      <c r="I7" s="116"/>
      <c r="J7" s="116"/>
      <c r="K7" s="116"/>
    </row>
    <row r="8" spans="1:11" ht="30" customHeight="1" x14ac:dyDescent="0.3">
      <c r="A8" s="318" t="s">
        <v>1249</v>
      </c>
      <c r="B8" s="260" t="s">
        <v>44</v>
      </c>
      <c r="C8" s="269" t="s">
        <v>1656</v>
      </c>
      <c r="D8" s="138"/>
      <c r="E8" s="168"/>
      <c r="F8" s="137"/>
      <c r="G8" s="240"/>
      <c r="H8" s="140"/>
      <c r="I8" s="116"/>
      <c r="J8" s="116"/>
      <c r="K8" s="116"/>
    </row>
    <row r="9" spans="1:11" ht="30" customHeight="1" x14ac:dyDescent="0.3">
      <c r="A9" s="259"/>
      <c r="B9" s="132"/>
      <c r="C9" s="609" t="s">
        <v>1657</v>
      </c>
      <c r="D9" s="153"/>
      <c r="E9" s="168"/>
      <c r="F9" s="137"/>
      <c r="G9" s="240"/>
      <c r="H9" s="146"/>
      <c r="I9" s="116"/>
      <c r="J9" s="116"/>
      <c r="K9" s="116"/>
    </row>
    <row r="10" spans="1:11" ht="30" customHeight="1" x14ac:dyDescent="0.3">
      <c r="A10" s="259" t="s">
        <v>1658</v>
      </c>
      <c r="B10" s="132"/>
      <c r="C10" s="610" t="s">
        <v>1659</v>
      </c>
      <c r="D10" s="153"/>
      <c r="E10" s="168"/>
      <c r="F10" s="137"/>
      <c r="G10" s="240"/>
      <c r="H10" s="146"/>
      <c r="I10" s="116"/>
      <c r="J10" s="116"/>
      <c r="K10" s="116"/>
    </row>
    <row r="11" spans="1:11" ht="30" customHeight="1" x14ac:dyDescent="0.3">
      <c r="A11" s="259" t="s">
        <v>1660</v>
      </c>
      <c r="B11" s="132"/>
      <c r="C11" s="610" t="s">
        <v>1661</v>
      </c>
      <c r="D11" s="138"/>
      <c r="E11" s="168"/>
      <c r="F11" s="137"/>
      <c r="G11" s="240"/>
      <c r="H11" s="146"/>
      <c r="I11" s="116"/>
      <c r="J11" s="116"/>
      <c r="K11" s="116"/>
    </row>
    <row r="12" spans="1:11" ht="30" customHeight="1" x14ac:dyDescent="0.3">
      <c r="A12" s="259" t="s">
        <v>1662</v>
      </c>
      <c r="B12" s="183"/>
      <c r="C12" s="610" t="s">
        <v>1659</v>
      </c>
      <c r="D12" s="138"/>
      <c r="E12" s="168"/>
      <c r="F12" s="191"/>
      <c r="G12" s="137"/>
      <c r="H12" s="146"/>
      <c r="I12" s="116"/>
      <c r="J12" s="116"/>
      <c r="K12" s="116"/>
    </row>
    <row r="13" spans="1:11" ht="30" customHeight="1" x14ac:dyDescent="0.3">
      <c r="A13" s="259" t="s">
        <v>1663</v>
      </c>
      <c r="B13" s="183"/>
      <c r="C13" s="610" t="s">
        <v>1664</v>
      </c>
      <c r="D13" s="138"/>
      <c r="E13" s="168"/>
      <c r="F13" s="166"/>
      <c r="G13" s="137"/>
      <c r="H13" s="147"/>
      <c r="I13" s="116"/>
      <c r="J13" s="116"/>
      <c r="K13" s="116"/>
    </row>
    <row r="14" spans="1:11" ht="30" customHeight="1" x14ac:dyDescent="0.3">
      <c r="A14" s="259" t="s">
        <v>1665</v>
      </c>
      <c r="B14" s="260"/>
      <c r="C14" s="610" t="s">
        <v>1666</v>
      </c>
      <c r="D14" s="323"/>
      <c r="E14" s="175"/>
      <c r="F14" s="173"/>
      <c r="G14" s="176"/>
      <c r="H14" s="147"/>
      <c r="I14" s="116"/>
      <c r="J14" s="116"/>
      <c r="K14" s="116"/>
    </row>
    <row r="15" spans="1:11" ht="30" customHeight="1" x14ac:dyDescent="0.3">
      <c r="A15" s="316" t="s">
        <v>1667</v>
      </c>
      <c r="B15" s="126"/>
      <c r="C15" s="610" t="s">
        <v>1668</v>
      </c>
      <c r="D15" s="179"/>
      <c r="E15" s="180"/>
      <c r="F15" s="181"/>
      <c r="G15" s="182"/>
      <c r="H15" s="147"/>
      <c r="I15" s="116"/>
      <c r="J15" s="116"/>
      <c r="K15" s="116"/>
    </row>
    <row r="16" spans="1:11" ht="30" customHeight="1" x14ac:dyDescent="0.3">
      <c r="A16" s="259" t="s">
        <v>1669</v>
      </c>
      <c r="B16" s="183"/>
      <c r="C16" s="611" t="s">
        <v>1670</v>
      </c>
      <c r="D16" s="185"/>
      <c r="E16" s="186"/>
      <c r="F16" s="191"/>
      <c r="G16" s="187"/>
      <c r="H16" s="147"/>
      <c r="I16" s="116"/>
      <c r="J16" s="116"/>
      <c r="K16" s="116"/>
    </row>
    <row r="17" spans="1:11" ht="30" customHeight="1" x14ac:dyDescent="0.3">
      <c r="A17" s="259" t="s">
        <v>1671</v>
      </c>
      <c r="B17" s="183"/>
      <c r="C17" s="610" t="s">
        <v>1672</v>
      </c>
      <c r="D17" s="153"/>
      <c r="E17" s="168"/>
      <c r="F17" s="166"/>
      <c r="G17" s="137"/>
      <c r="I17" s="116"/>
      <c r="J17" s="116"/>
      <c r="K17" s="116"/>
    </row>
    <row r="18" spans="1:11" ht="30" customHeight="1" x14ac:dyDescent="0.3">
      <c r="A18" s="612" t="s">
        <v>1673</v>
      </c>
      <c r="B18" s="133" t="s">
        <v>43</v>
      </c>
      <c r="C18" s="170" t="s">
        <v>1674</v>
      </c>
      <c r="D18" s="153"/>
      <c r="E18" s="168"/>
      <c r="F18" s="166"/>
      <c r="G18" s="137"/>
      <c r="I18" s="116"/>
      <c r="J18" s="116"/>
      <c r="K18" s="116"/>
    </row>
    <row r="19" spans="1:11" ht="30" customHeight="1" x14ac:dyDescent="0.3">
      <c r="A19" s="613" t="s">
        <v>1675</v>
      </c>
      <c r="B19" s="614" t="s">
        <v>43</v>
      </c>
      <c r="C19" s="615" t="s">
        <v>1540</v>
      </c>
      <c r="D19" s="616"/>
      <c r="E19" s="168"/>
      <c r="F19" s="166"/>
      <c r="G19" s="137"/>
      <c r="I19" s="116"/>
      <c r="J19" s="116"/>
      <c r="K19" s="116"/>
    </row>
    <row r="20" spans="1:11" x14ac:dyDescent="0.3">
      <c r="A20" s="259"/>
      <c r="B20" s="612"/>
      <c r="C20" s="134"/>
      <c r="D20" s="138"/>
      <c r="E20" s="168"/>
      <c r="F20" s="166"/>
      <c r="G20" s="137"/>
      <c r="I20" s="116"/>
      <c r="J20" s="116"/>
      <c r="K20" s="116"/>
    </row>
    <row r="21" spans="1:11" ht="30" customHeight="1" x14ac:dyDescent="0.3">
      <c r="A21" s="259"/>
      <c r="B21" s="612"/>
      <c r="C21" s="134"/>
      <c r="D21" s="138"/>
      <c r="E21" s="168"/>
      <c r="F21" s="166"/>
      <c r="G21" s="137"/>
      <c r="I21" s="116"/>
      <c r="J21" s="116"/>
      <c r="K21" s="116"/>
    </row>
    <row r="22" spans="1:11" ht="30" customHeight="1" x14ac:dyDescent="0.3">
      <c r="A22" s="259"/>
      <c r="B22" s="617"/>
      <c r="C22" s="271"/>
      <c r="D22" s="323"/>
      <c r="E22" s="175"/>
      <c r="F22" s="173"/>
      <c r="G22" s="176"/>
      <c r="I22" s="116"/>
      <c r="J22" s="116"/>
      <c r="K22" s="116"/>
    </row>
    <row r="23" spans="1:11" x14ac:dyDescent="0.3">
      <c r="A23" s="316"/>
      <c r="B23" s="126"/>
      <c r="C23" s="286"/>
      <c r="D23" s="194"/>
      <c r="E23" s="180"/>
      <c r="F23" s="181"/>
      <c r="G23" s="182"/>
      <c r="I23" s="116"/>
      <c r="J23" s="116"/>
      <c r="K23" s="116"/>
    </row>
    <row r="24" spans="1:11" ht="30" customHeight="1" x14ac:dyDescent="0.3">
      <c r="A24" s="259"/>
      <c r="B24" s="612"/>
      <c r="C24" s="278"/>
      <c r="D24" s="185"/>
      <c r="E24" s="186"/>
      <c r="F24" s="191"/>
      <c r="G24" s="187"/>
      <c r="I24" s="116"/>
      <c r="J24" s="116"/>
      <c r="K24" s="116"/>
    </row>
    <row r="25" spans="1:11" ht="30" customHeight="1" x14ac:dyDescent="0.3">
      <c r="A25" s="259"/>
      <c r="B25" s="612"/>
      <c r="C25" s="154"/>
      <c r="D25" s="138"/>
      <c r="E25" s="168"/>
      <c r="F25" s="166"/>
      <c r="G25" s="137"/>
      <c r="I25" s="116"/>
      <c r="J25" s="116"/>
      <c r="K25" s="116"/>
    </row>
    <row r="26" spans="1:11" ht="30" customHeight="1" x14ac:dyDescent="0.3">
      <c r="A26" s="259"/>
      <c r="B26" s="612"/>
      <c r="C26" s="154"/>
      <c r="D26" s="153"/>
      <c r="E26" s="168"/>
      <c r="F26" s="166"/>
      <c r="G26" s="137"/>
      <c r="I26" s="116"/>
      <c r="J26" s="116"/>
      <c r="K26" s="116"/>
    </row>
    <row r="27" spans="1:11" ht="30" customHeight="1" x14ac:dyDescent="0.3">
      <c r="A27" s="259"/>
      <c r="B27" s="612"/>
      <c r="C27" s="154"/>
      <c r="D27" s="138"/>
      <c r="E27" s="168"/>
      <c r="F27" s="166"/>
      <c r="G27" s="137"/>
      <c r="I27" s="116"/>
      <c r="J27" s="116"/>
      <c r="K27" s="116"/>
    </row>
    <row r="28" spans="1:11" ht="30" customHeight="1" x14ac:dyDescent="0.3">
      <c r="A28" s="259"/>
      <c r="B28" s="612"/>
      <c r="C28" s="154"/>
      <c r="D28" s="153"/>
      <c r="E28" s="168"/>
      <c r="F28" s="166"/>
      <c r="G28" s="137"/>
      <c r="I28" s="116"/>
      <c r="J28" s="116"/>
      <c r="K28" s="116"/>
    </row>
    <row r="29" spans="1:11" ht="30" customHeight="1" x14ac:dyDescent="0.3">
      <c r="A29" s="259"/>
      <c r="B29" s="612"/>
      <c r="C29" s="154"/>
      <c r="D29" s="153"/>
      <c r="E29" s="168"/>
      <c r="F29" s="166"/>
      <c r="G29" s="137"/>
      <c r="I29" s="116"/>
      <c r="J29" s="116"/>
      <c r="K29" s="116"/>
    </row>
    <row r="30" spans="1:11" ht="30" customHeight="1" x14ac:dyDescent="0.3">
      <c r="A30" s="259"/>
      <c r="B30" s="612"/>
      <c r="C30" s="154"/>
      <c r="D30" s="138"/>
      <c r="E30" s="168"/>
      <c r="F30" s="166"/>
      <c r="G30" s="137"/>
      <c r="I30" s="116"/>
      <c r="J30" s="116"/>
      <c r="K30" s="116"/>
    </row>
    <row r="31" spans="1:11" ht="30" customHeight="1" x14ac:dyDescent="0.3">
      <c r="A31" s="259"/>
      <c r="B31" s="612"/>
      <c r="C31" s="154"/>
      <c r="D31" s="138"/>
      <c r="E31" s="168"/>
      <c r="F31" s="166"/>
      <c r="G31" s="137"/>
      <c r="I31" s="116"/>
      <c r="J31" s="116"/>
      <c r="K31" s="116"/>
    </row>
    <row r="32" spans="1:11" ht="30" customHeight="1" x14ac:dyDescent="0.3">
      <c r="A32" s="259"/>
      <c r="B32" s="612"/>
      <c r="C32" s="154"/>
      <c r="D32" s="138"/>
      <c r="E32" s="168"/>
      <c r="F32" s="166"/>
      <c r="G32" s="137"/>
      <c r="I32" s="116"/>
      <c r="J32" s="116"/>
      <c r="K32" s="116"/>
    </row>
    <row r="33" spans="1:11" ht="30" customHeight="1" x14ac:dyDescent="0.3">
      <c r="A33" s="259"/>
      <c r="B33" s="612"/>
      <c r="C33" s="154"/>
      <c r="D33" s="153"/>
      <c r="E33" s="168"/>
      <c r="F33" s="166"/>
      <c r="G33" s="137"/>
      <c r="I33" s="116"/>
      <c r="J33" s="116"/>
      <c r="K33" s="116"/>
    </row>
    <row r="34" spans="1:11" ht="30" customHeight="1" x14ac:dyDescent="0.3">
      <c r="A34" s="259"/>
      <c r="B34" s="612"/>
      <c r="C34" s="154"/>
      <c r="D34" s="153"/>
      <c r="E34" s="168"/>
      <c r="F34" s="166"/>
      <c r="G34" s="137"/>
      <c r="I34" s="116"/>
      <c r="J34" s="116"/>
      <c r="K34" s="116"/>
    </row>
    <row r="35" spans="1:11" ht="30" customHeight="1" x14ac:dyDescent="0.3">
      <c r="A35" s="259"/>
      <c r="B35" s="612"/>
      <c r="C35" s="154"/>
      <c r="D35" s="153"/>
      <c r="E35" s="168"/>
      <c r="F35" s="166"/>
      <c r="G35" s="137"/>
      <c r="I35" s="116"/>
      <c r="J35" s="116"/>
      <c r="K35" s="116"/>
    </row>
    <row r="36" spans="1:11" ht="30" customHeight="1" x14ac:dyDescent="0.3">
      <c r="A36" s="259"/>
      <c r="B36" s="612"/>
      <c r="C36" s="154"/>
      <c r="D36" s="138"/>
      <c r="E36" s="168"/>
      <c r="F36" s="166"/>
      <c r="G36" s="137"/>
      <c r="I36" s="116"/>
      <c r="J36" s="116"/>
      <c r="K36" s="116"/>
    </row>
    <row r="37" spans="1:11" ht="30" customHeight="1" x14ac:dyDescent="0.3">
      <c r="A37" s="259"/>
      <c r="B37" s="612"/>
      <c r="C37" s="154"/>
      <c r="D37" s="138"/>
      <c r="E37" s="168"/>
      <c r="F37" s="166"/>
      <c r="G37" s="137"/>
      <c r="I37" s="116"/>
      <c r="J37" s="116"/>
      <c r="K37" s="116"/>
    </row>
    <row r="38" spans="1:11" ht="30" customHeight="1" x14ac:dyDescent="0.3">
      <c r="A38" s="259"/>
      <c r="B38" s="612"/>
      <c r="C38" s="154"/>
      <c r="D38" s="153"/>
      <c r="E38" s="168"/>
      <c r="F38" s="166"/>
      <c r="G38" s="137"/>
      <c r="I38" s="116"/>
      <c r="J38" s="116"/>
      <c r="K38" s="116"/>
    </row>
    <row r="39" spans="1:11" ht="30" customHeight="1" x14ac:dyDescent="0.3">
      <c r="A39" s="259"/>
      <c r="B39" s="612"/>
      <c r="C39" s="154"/>
      <c r="D39" s="153"/>
      <c r="E39" s="168"/>
      <c r="F39" s="166"/>
      <c r="G39" s="137"/>
      <c r="I39" s="116"/>
      <c r="J39" s="116"/>
      <c r="K39" s="116"/>
    </row>
    <row r="40" spans="1:11" ht="30" customHeight="1" x14ac:dyDescent="0.3">
      <c r="A40" s="259"/>
      <c r="B40" s="612"/>
      <c r="C40" s="154"/>
      <c r="D40" s="153"/>
      <c r="E40" s="168"/>
      <c r="F40" s="166"/>
      <c r="G40" s="137"/>
      <c r="I40" s="116"/>
      <c r="J40" s="116"/>
      <c r="K40" s="116"/>
    </row>
    <row r="41" spans="1:11" ht="30" customHeight="1" x14ac:dyDescent="0.3">
      <c r="A41" s="259"/>
      <c r="B41" s="612"/>
      <c r="C41" s="154"/>
      <c r="D41" s="153"/>
      <c r="E41" s="168"/>
      <c r="F41" s="166"/>
      <c r="G41" s="137"/>
      <c r="I41" s="116"/>
      <c r="J41" s="116"/>
      <c r="K41" s="116"/>
    </row>
    <row r="42" spans="1:11" ht="30" customHeight="1" x14ac:dyDescent="0.3">
      <c r="A42" s="259"/>
      <c r="B42" s="612"/>
      <c r="C42" s="154"/>
      <c r="D42" s="153"/>
      <c r="E42" s="168"/>
      <c r="F42" s="166"/>
      <c r="G42" s="137"/>
      <c r="I42" s="116"/>
      <c r="J42" s="116"/>
      <c r="K42" s="116"/>
    </row>
    <row r="43" spans="1:11" ht="30" customHeight="1" x14ac:dyDescent="0.3">
      <c r="A43" s="259"/>
      <c r="B43" s="612"/>
      <c r="C43" s="154"/>
      <c r="D43" s="153"/>
      <c r="E43" s="168"/>
      <c r="F43" s="166"/>
      <c r="G43" s="137"/>
      <c r="I43" s="116"/>
      <c r="J43" s="116"/>
      <c r="K43" s="116"/>
    </row>
    <row r="44" spans="1:11" ht="30" customHeight="1" x14ac:dyDescent="0.3">
      <c r="A44" s="259"/>
      <c r="B44" s="612"/>
      <c r="C44" s="154"/>
      <c r="D44" s="153"/>
      <c r="E44" s="168"/>
      <c r="F44" s="166"/>
      <c r="G44" s="137"/>
      <c r="I44" s="116"/>
      <c r="J44" s="116"/>
      <c r="K44" s="116"/>
    </row>
    <row r="45" spans="1:11" ht="30" customHeight="1" x14ac:dyDescent="0.3">
      <c r="A45" s="259"/>
      <c r="B45" s="612"/>
      <c r="C45" s="154"/>
      <c r="D45" s="138"/>
      <c r="E45" s="168"/>
      <c r="F45" s="166"/>
      <c r="G45" s="137"/>
      <c r="I45" s="116"/>
      <c r="J45" s="116"/>
      <c r="K45" s="116"/>
    </row>
    <row r="46" spans="1:11" ht="30" customHeight="1" x14ac:dyDescent="0.3">
      <c r="A46" s="259"/>
      <c r="B46" s="612"/>
      <c r="C46" s="154"/>
      <c r="D46" s="138"/>
      <c r="E46" s="168"/>
      <c r="F46" s="166"/>
      <c r="G46" s="137"/>
      <c r="I46" s="116"/>
      <c r="J46" s="116"/>
      <c r="K46" s="116"/>
    </row>
    <row r="47" spans="1:11" ht="30" customHeight="1" x14ac:dyDescent="0.3">
      <c r="A47" s="259"/>
      <c r="B47" s="612"/>
      <c r="C47" s="154"/>
      <c r="D47" s="138"/>
      <c r="E47" s="168"/>
      <c r="F47" s="166"/>
      <c r="G47" s="137"/>
      <c r="I47" s="116"/>
      <c r="J47" s="116"/>
      <c r="K47" s="116"/>
    </row>
    <row r="48" spans="1:11" ht="30" customHeight="1" x14ac:dyDescent="0.3">
      <c r="A48" s="259"/>
      <c r="B48" s="612"/>
      <c r="C48" s="154"/>
      <c r="D48" s="138"/>
      <c r="E48" s="168"/>
      <c r="F48" s="166"/>
      <c r="G48" s="137"/>
      <c r="I48" s="116"/>
      <c r="J48" s="116"/>
      <c r="K48" s="116"/>
    </row>
    <row r="49" spans="1:11" ht="30" customHeight="1" x14ac:dyDescent="0.3">
      <c r="A49" s="259"/>
      <c r="B49" s="612"/>
      <c r="C49" s="154"/>
      <c r="D49" s="138"/>
      <c r="E49" s="168"/>
      <c r="F49" s="166"/>
      <c r="G49" s="137"/>
      <c r="I49" s="116"/>
      <c r="J49" s="116"/>
      <c r="K49" s="116"/>
    </row>
    <row r="50" spans="1:11" ht="30" customHeight="1" x14ac:dyDescent="0.3">
      <c r="A50" s="259"/>
      <c r="B50" s="612"/>
      <c r="C50" s="154"/>
      <c r="D50" s="138"/>
      <c r="E50" s="168"/>
      <c r="F50" s="166"/>
      <c r="G50" s="137"/>
      <c r="I50" s="116"/>
      <c r="J50" s="116"/>
      <c r="K50" s="116"/>
    </row>
    <row r="51" spans="1:11" ht="30" customHeight="1" x14ac:dyDescent="0.3">
      <c r="A51" s="259"/>
      <c r="B51" s="612"/>
      <c r="C51" s="154"/>
      <c r="D51" s="138"/>
      <c r="E51" s="168"/>
      <c r="F51" s="166"/>
      <c r="G51" s="137"/>
      <c r="I51" s="116"/>
      <c r="J51" s="116"/>
      <c r="K51" s="116"/>
    </row>
    <row r="52" spans="1:11" ht="30" customHeight="1" x14ac:dyDescent="0.3">
      <c r="A52" s="259"/>
      <c r="B52" s="612"/>
      <c r="C52" s="154"/>
      <c r="D52" s="138"/>
      <c r="E52" s="168"/>
      <c r="F52" s="166"/>
      <c r="G52" s="137"/>
      <c r="I52" s="116"/>
      <c r="J52" s="116"/>
      <c r="K52" s="116"/>
    </row>
    <row r="53" spans="1:11" ht="30" customHeight="1" x14ac:dyDescent="0.3">
      <c r="A53" s="259"/>
      <c r="B53" s="612"/>
      <c r="C53" s="154"/>
      <c r="D53" s="153"/>
      <c r="E53" s="168"/>
      <c r="F53" s="166"/>
      <c r="G53" s="137"/>
      <c r="I53" s="116"/>
      <c r="J53" s="116"/>
      <c r="K53" s="116"/>
    </row>
    <row r="54" spans="1:11" ht="30" customHeight="1" x14ac:dyDescent="0.3">
      <c r="A54" s="259"/>
      <c r="B54" s="612"/>
      <c r="C54" s="154"/>
      <c r="D54" s="153"/>
      <c r="E54" s="168"/>
      <c r="F54" s="166"/>
      <c r="G54" s="137"/>
      <c r="I54" s="116"/>
      <c r="J54" s="116"/>
      <c r="K54" s="116"/>
    </row>
    <row r="55" spans="1:11" ht="30" customHeight="1" x14ac:dyDescent="0.3">
      <c r="A55" s="259"/>
      <c r="B55" s="612"/>
      <c r="C55" s="154"/>
      <c r="D55" s="138"/>
      <c r="E55" s="168"/>
      <c r="F55" s="166"/>
      <c r="G55" s="137"/>
      <c r="I55" s="116"/>
      <c r="J55" s="116"/>
      <c r="K55" s="116"/>
    </row>
    <row r="56" spans="1:11" ht="30" customHeight="1" x14ac:dyDescent="0.3">
      <c r="A56" s="259"/>
      <c r="B56" s="612"/>
      <c r="C56" s="154"/>
      <c r="D56" s="153"/>
      <c r="E56" s="168"/>
      <c r="F56" s="166"/>
      <c r="G56" s="137"/>
      <c r="I56" s="116"/>
      <c r="J56" s="116"/>
      <c r="K56" s="116"/>
    </row>
    <row r="57" spans="1:11" ht="30" customHeight="1" x14ac:dyDescent="0.3">
      <c r="A57" s="259"/>
      <c r="B57" s="612"/>
      <c r="C57" s="154"/>
      <c r="D57" s="153"/>
      <c r="E57" s="168"/>
      <c r="F57" s="166"/>
      <c r="G57" s="137"/>
      <c r="I57" s="116"/>
      <c r="J57" s="116"/>
      <c r="K57" s="116"/>
    </row>
    <row r="58" spans="1:11" ht="30" customHeight="1" x14ac:dyDescent="0.3">
      <c r="A58" s="259"/>
      <c r="B58" s="612"/>
      <c r="C58" s="154"/>
      <c r="D58" s="138"/>
      <c r="E58" s="168"/>
      <c r="F58" s="166"/>
      <c r="G58" s="137"/>
      <c r="I58" s="116"/>
      <c r="J58" s="116"/>
      <c r="K58" s="116"/>
    </row>
    <row r="59" spans="1:11" ht="30" customHeight="1" x14ac:dyDescent="0.3">
      <c r="A59" s="259"/>
      <c r="B59" s="612"/>
      <c r="C59" s="154"/>
      <c r="D59" s="138"/>
      <c r="E59" s="168"/>
      <c r="F59" s="166"/>
      <c r="G59" s="137"/>
      <c r="I59" s="116"/>
      <c r="J59" s="116"/>
      <c r="K59" s="116"/>
    </row>
    <row r="60" spans="1:11" ht="30" customHeight="1" x14ac:dyDescent="0.3">
      <c r="A60" s="259"/>
      <c r="B60" s="132"/>
      <c r="C60" s="154"/>
      <c r="D60" s="153"/>
      <c r="E60" s="168"/>
      <c r="F60" s="137"/>
      <c r="G60" s="137"/>
      <c r="I60" s="116"/>
      <c r="J60" s="116"/>
      <c r="K60" s="116"/>
    </row>
    <row r="61" spans="1:11" ht="30" customHeight="1" x14ac:dyDescent="0.3">
      <c r="A61" s="259"/>
      <c r="B61" s="132"/>
      <c r="C61" s="154"/>
      <c r="D61" s="153"/>
      <c r="E61" s="168"/>
      <c r="F61" s="137"/>
      <c r="G61" s="137"/>
      <c r="I61" s="116"/>
      <c r="J61" s="116"/>
      <c r="K61" s="116"/>
    </row>
    <row r="62" spans="1:11" ht="30" customHeight="1" x14ac:dyDescent="0.3">
      <c r="A62" s="259"/>
      <c r="B62" s="612"/>
      <c r="C62" s="154"/>
      <c r="D62" s="138"/>
      <c r="E62" s="168"/>
      <c r="F62" s="137"/>
      <c r="G62" s="137"/>
      <c r="I62" s="116"/>
      <c r="J62" s="116"/>
      <c r="K62" s="116"/>
    </row>
    <row r="63" spans="1:11" ht="30" customHeight="1" x14ac:dyDescent="0.3">
      <c r="A63" s="259"/>
      <c r="B63" s="132"/>
      <c r="C63" s="154"/>
      <c r="D63" s="153"/>
      <c r="E63" s="168"/>
      <c r="F63" s="137"/>
      <c r="G63" s="137"/>
      <c r="I63" s="116"/>
      <c r="J63" s="116"/>
      <c r="K63" s="116"/>
    </row>
    <row r="64" spans="1:11" ht="30" customHeight="1" x14ac:dyDescent="0.3">
      <c r="A64" s="259"/>
      <c r="B64" s="132"/>
      <c r="C64" s="154"/>
      <c r="D64" s="153"/>
      <c r="E64" s="168"/>
      <c r="F64" s="137"/>
      <c r="G64" s="137"/>
      <c r="I64" s="116"/>
      <c r="J64" s="116"/>
      <c r="K64" s="116"/>
    </row>
    <row r="65" spans="1:11" ht="30" customHeight="1" x14ac:dyDescent="0.3">
      <c r="A65" s="259"/>
      <c r="B65" s="132"/>
      <c r="C65" s="154"/>
      <c r="D65" s="153"/>
      <c r="E65" s="168"/>
      <c r="F65" s="137"/>
      <c r="G65" s="137"/>
      <c r="I65" s="116"/>
      <c r="J65" s="116"/>
      <c r="K65" s="116"/>
    </row>
    <row r="66" spans="1:11" ht="30" customHeight="1" x14ac:dyDescent="0.3">
      <c r="A66" s="259"/>
      <c r="B66" s="612"/>
      <c r="C66" s="154"/>
      <c r="D66" s="138"/>
      <c r="E66" s="168"/>
      <c r="F66" s="137"/>
      <c r="G66" s="137"/>
      <c r="I66" s="116"/>
      <c r="J66" s="116"/>
      <c r="K66" s="116"/>
    </row>
    <row r="67" spans="1:11" ht="30" customHeight="1" x14ac:dyDescent="0.3">
      <c r="A67" s="259"/>
      <c r="B67" s="617"/>
      <c r="C67" s="273"/>
      <c r="D67" s="323"/>
      <c r="E67" s="175"/>
      <c r="F67" s="176"/>
      <c r="G67" s="176"/>
      <c r="I67" s="116"/>
      <c r="J67" s="116"/>
      <c r="K67" s="116"/>
    </row>
    <row r="68" spans="1:11" x14ac:dyDescent="0.3">
      <c r="A68" s="316"/>
      <c r="B68" s="126"/>
      <c r="C68" s="286"/>
      <c r="D68" s="194"/>
      <c r="E68" s="180"/>
      <c r="F68" s="181"/>
      <c r="G68" s="182"/>
      <c r="I68" s="116"/>
      <c r="J68" s="116"/>
      <c r="K68" s="116"/>
    </row>
    <row r="69" spans="1:11" ht="30" customHeight="1" x14ac:dyDescent="0.3">
      <c r="A69" s="259"/>
      <c r="B69" s="612"/>
      <c r="C69" s="278"/>
      <c r="D69" s="185"/>
      <c r="E69" s="328"/>
      <c r="F69" s="191"/>
      <c r="G69" s="187"/>
      <c r="I69" s="116"/>
      <c r="J69" s="116"/>
      <c r="K69" s="116"/>
    </row>
    <row r="70" spans="1:11" ht="30" customHeight="1" x14ac:dyDescent="0.3">
      <c r="A70" s="259"/>
      <c r="B70" s="132"/>
      <c r="C70" s="154"/>
      <c r="D70" s="138"/>
      <c r="E70" s="326"/>
      <c r="F70" s="166"/>
      <c r="G70" s="137"/>
      <c r="I70" s="116"/>
      <c r="J70" s="116"/>
      <c r="K70" s="116"/>
    </row>
    <row r="71" spans="1:11" ht="30" customHeight="1" x14ac:dyDescent="0.3">
      <c r="A71" s="259"/>
      <c r="B71" s="612"/>
      <c r="C71" s="154"/>
      <c r="D71" s="138"/>
      <c r="E71" s="168"/>
      <c r="F71" s="166"/>
      <c r="G71" s="137"/>
      <c r="I71" s="116"/>
      <c r="J71" s="116"/>
      <c r="K71" s="116"/>
    </row>
    <row r="72" spans="1:11" ht="30" customHeight="1" x14ac:dyDescent="0.3">
      <c r="A72" s="259"/>
      <c r="B72" s="612"/>
      <c r="C72" s="154"/>
      <c r="D72" s="138"/>
      <c r="E72" s="168"/>
      <c r="F72" s="166"/>
      <c r="G72" s="137"/>
      <c r="I72" s="116"/>
      <c r="J72" s="116"/>
      <c r="K72" s="116"/>
    </row>
    <row r="73" spans="1:11" ht="30" customHeight="1" x14ac:dyDescent="0.3">
      <c r="A73" s="259"/>
      <c r="B73" s="612"/>
      <c r="C73" s="154"/>
      <c r="D73" s="138"/>
      <c r="E73" s="168"/>
      <c r="F73" s="166"/>
      <c r="G73" s="137"/>
      <c r="I73" s="116"/>
      <c r="J73" s="116"/>
      <c r="K73" s="116"/>
    </row>
    <row r="74" spans="1:11" ht="30" customHeight="1" x14ac:dyDescent="0.3">
      <c r="A74" s="259"/>
      <c r="B74" s="132"/>
      <c r="C74" s="154"/>
      <c r="D74" s="138"/>
      <c r="E74" s="168"/>
      <c r="F74" s="166"/>
      <c r="G74" s="137"/>
      <c r="I74" s="116"/>
      <c r="J74" s="116"/>
      <c r="K74" s="116"/>
    </row>
    <row r="75" spans="1:11" ht="30" customHeight="1" x14ac:dyDescent="0.3">
      <c r="A75" s="259"/>
      <c r="B75" s="132"/>
      <c r="C75" s="154"/>
      <c r="D75" s="138"/>
      <c r="E75" s="168"/>
      <c r="F75" s="166"/>
      <c r="G75" s="137"/>
      <c r="I75" s="116"/>
      <c r="J75" s="116"/>
      <c r="K75" s="116"/>
    </row>
    <row r="76" spans="1:11" ht="30" customHeight="1" x14ac:dyDescent="0.3">
      <c r="A76" s="259"/>
      <c r="B76" s="132"/>
      <c r="C76" s="154"/>
      <c r="D76" s="138"/>
      <c r="E76" s="168"/>
      <c r="F76" s="166"/>
      <c r="G76" s="137"/>
      <c r="I76" s="116"/>
      <c r="J76" s="116"/>
      <c r="K76" s="116"/>
    </row>
    <row r="77" spans="1:11" ht="30" customHeight="1" x14ac:dyDescent="0.3">
      <c r="A77" s="259"/>
      <c r="B77" s="612"/>
      <c r="C77" s="154"/>
      <c r="D77" s="138"/>
      <c r="E77" s="168"/>
      <c r="F77" s="166"/>
      <c r="G77" s="137"/>
      <c r="I77" s="116"/>
      <c r="J77" s="116"/>
      <c r="K77" s="116"/>
    </row>
    <row r="78" spans="1:11" ht="30" customHeight="1" x14ac:dyDescent="0.3">
      <c r="A78" s="259"/>
      <c r="B78" s="618"/>
      <c r="C78" s="273"/>
      <c r="D78" s="323"/>
      <c r="E78" s="175"/>
      <c r="F78" s="173"/>
      <c r="G78" s="176"/>
      <c r="I78" s="116"/>
      <c r="J78" s="116"/>
      <c r="K78" s="116"/>
    </row>
    <row r="79" spans="1:11" x14ac:dyDescent="0.3">
      <c r="A79" s="316"/>
      <c r="B79" s="126"/>
      <c r="C79" s="243"/>
      <c r="D79" s="194"/>
      <c r="E79" s="180"/>
      <c r="F79" s="181"/>
      <c r="G79" s="182"/>
      <c r="I79" s="116"/>
      <c r="J79" s="116"/>
      <c r="K79" s="116"/>
    </row>
    <row r="80" spans="1:11" ht="30" customHeight="1" x14ac:dyDescent="0.3">
      <c r="A80" s="259"/>
      <c r="B80" s="612"/>
      <c r="C80" s="278"/>
      <c r="D80" s="185"/>
      <c r="E80" s="186"/>
      <c r="F80" s="187"/>
      <c r="G80" s="187"/>
      <c r="I80" s="116"/>
      <c r="J80" s="116"/>
      <c r="K80" s="116"/>
    </row>
    <row r="81" spans="1:12" ht="30" customHeight="1" x14ac:dyDescent="0.3">
      <c r="A81" s="259"/>
      <c r="B81" s="612"/>
      <c r="C81" s="154"/>
      <c r="D81" s="138"/>
      <c r="E81" s="168"/>
      <c r="F81" s="173"/>
      <c r="G81" s="176"/>
      <c r="I81" s="116"/>
      <c r="J81" s="116"/>
      <c r="K81" s="116"/>
    </row>
    <row r="82" spans="1:12" ht="30" customHeight="1" x14ac:dyDescent="0.3">
      <c r="A82" s="259"/>
      <c r="B82" s="612"/>
      <c r="C82" s="154"/>
      <c r="D82" s="138"/>
      <c r="E82" s="168"/>
      <c r="F82" s="173"/>
      <c r="G82" s="176"/>
      <c r="I82" s="116"/>
      <c r="J82" s="116"/>
      <c r="K82" s="116"/>
    </row>
    <row r="83" spans="1:12" ht="30" customHeight="1" x14ac:dyDescent="0.3">
      <c r="A83" s="259"/>
      <c r="B83" s="617"/>
      <c r="C83" s="273"/>
      <c r="D83" s="323"/>
      <c r="E83" s="175"/>
      <c r="F83" s="173"/>
      <c r="G83" s="176"/>
      <c r="I83" s="116"/>
      <c r="J83" s="116"/>
      <c r="K83" s="116"/>
    </row>
    <row r="84" spans="1:12" x14ac:dyDescent="0.3">
      <c r="A84" s="316"/>
      <c r="B84" s="126"/>
      <c r="C84" s="243"/>
      <c r="D84" s="194"/>
      <c r="E84" s="180"/>
      <c r="F84" s="181"/>
      <c r="G84" s="182"/>
      <c r="I84" s="116"/>
      <c r="J84" s="116"/>
      <c r="K84" s="116"/>
    </row>
    <row r="85" spans="1:12" ht="30" customHeight="1" x14ac:dyDescent="0.3">
      <c r="A85" s="259"/>
      <c r="B85" s="612"/>
      <c r="C85" s="269"/>
      <c r="D85" s="185"/>
      <c r="E85" s="186"/>
      <c r="F85" s="191"/>
      <c r="G85" s="187"/>
      <c r="I85" s="116"/>
      <c r="J85" s="116"/>
      <c r="K85" s="116"/>
    </row>
    <row r="86" spans="1:12" ht="30" customHeight="1" x14ac:dyDescent="0.3">
      <c r="A86" s="259"/>
      <c r="B86" s="612"/>
      <c r="C86" s="134"/>
      <c r="D86" s="138"/>
      <c r="E86" s="168"/>
      <c r="F86" s="166"/>
      <c r="G86" s="137"/>
      <c r="I86" s="116"/>
      <c r="J86" s="116"/>
      <c r="K86" s="116"/>
    </row>
    <row r="87" spans="1:12" ht="30" customHeight="1" x14ac:dyDescent="0.3">
      <c r="A87" s="259"/>
      <c r="B87" s="612"/>
      <c r="C87" s="134"/>
      <c r="D87" s="138"/>
      <c r="E87" s="168"/>
      <c r="F87" s="166"/>
      <c r="G87" s="137"/>
      <c r="I87" s="116"/>
      <c r="J87" s="116"/>
      <c r="K87" s="116"/>
    </row>
    <row r="88" spans="1:12" ht="30" customHeight="1" x14ac:dyDescent="0.3">
      <c r="A88" s="259"/>
      <c r="B88" s="617"/>
      <c r="C88" s="271"/>
      <c r="D88" s="323"/>
      <c r="E88" s="175"/>
      <c r="F88" s="173"/>
      <c r="G88" s="176"/>
      <c r="I88" s="116"/>
      <c r="J88" s="116"/>
      <c r="K88" s="116"/>
    </row>
    <row r="89" spans="1:12" x14ac:dyDescent="0.3">
      <c r="A89" s="316"/>
      <c r="B89" s="126"/>
      <c r="C89" s="243"/>
      <c r="D89" s="194"/>
      <c r="E89" s="180"/>
      <c r="F89" s="181"/>
      <c r="G89" s="182"/>
      <c r="I89" s="116"/>
      <c r="J89" s="116"/>
      <c r="K89" s="116"/>
    </row>
    <row r="90" spans="1:12" ht="30" customHeight="1" x14ac:dyDescent="0.3">
      <c r="A90" s="259"/>
      <c r="B90" s="612"/>
      <c r="C90" s="269"/>
      <c r="D90" s="185"/>
      <c r="E90" s="186"/>
      <c r="F90" s="191"/>
      <c r="G90" s="187"/>
      <c r="I90" s="116"/>
      <c r="J90" s="116"/>
      <c r="K90" s="116"/>
    </row>
    <row r="91" spans="1:12" x14ac:dyDescent="0.3">
      <c r="A91" s="259"/>
      <c r="B91" s="612"/>
      <c r="C91" s="134"/>
      <c r="D91" s="138"/>
      <c r="E91" s="168"/>
      <c r="F91" s="166"/>
      <c r="G91" s="137"/>
      <c r="I91" s="116"/>
      <c r="J91" s="116"/>
      <c r="K91" s="116"/>
    </row>
    <row r="92" spans="1:12" ht="30" customHeight="1" x14ac:dyDescent="0.3">
      <c r="A92" s="259"/>
      <c r="B92" s="612"/>
      <c r="C92" s="134"/>
      <c r="D92" s="138"/>
      <c r="E92" s="168"/>
      <c r="F92" s="166"/>
      <c r="G92" s="137"/>
      <c r="I92" s="116"/>
      <c r="J92" s="116"/>
      <c r="K92" s="116"/>
    </row>
    <row r="93" spans="1:12" ht="30" customHeight="1" x14ac:dyDescent="0.3"/>
    <row r="94" spans="1:12" ht="30" customHeight="1" x14ac:dyDescent="0.3"/>
    <row r="95" spans="1:12" s="113" customFormat="1" ht="30" customHeight="1" x14ac:dyDescent="0.3">
      <c r="C95" s="114"/>
      <c r="D95" s="115"/>
      <c r="E95" s="115"/>
      <c r="F95" s="115"/>
      <c r="G95" s="115"/>
      <c r="H95" s="115"/>
      <c r="I95" s="115"/>
      <c r="J95" s="115"/>
      <c r="K95" s="115"/>
      <c r="L95" s="115"/>
    </row>
    <row r="96" spans="1:12" s="113" customFormat="1" ht="30" customHeight="1" x14ac:dyDescent="0.3">
      <c r="C96" s="114"/>
      <c r="D96" s="115"/>
      <c r="E96" s="115"/>
      <c r="F96" s="115"/>
      <c r="G96" s="115"/>
      <c r="H96" s="115"/>
      <c r="I96" s="115"/>
      <c r="J96" s="115"/>
      <c r="K96" s="115"/>
      <c r="L96" s="115"/>
    </row>
    <row r="97" spans="3:12" s="113" customFormat="1" ht="30" customHeight="1" x14ac:dyDescent="0.3">
      <c r="C97" s="114"/>
      <c r="D97" s="115"/>
      <c r="E97" s="115"/>
      <c r="F97" s="115"/>
      <c r="G97" s="115"/>
      <c r="H97" s="115"/>
      <c r="I97" s="115"/>
      <c r="J97" s="115"/>
      <c r="K97" s="115"/>
      <c r="L97" s="115"/>
    </row>
    <row r="98" spans="3:12" s="113" customFormat="1" ht="30" customHeight="1" x14ac:dyDescent="0.3">
      <c r="C98" s="114"/>
      <c r="D98" s="115"/>
      <c r="E98" s="115"/>
      <c r="F98" s="115"/>
      <c r="G98" s="115"/>
      <c r="H98" s="115"/>
      <c r="I98" s="115"/>
      <c r="J98" s="115"/>
      <c r="K98" s="115"/>
      <c r="L98" s="115"/>
    </row>
    <row r="99" spans="3:12" s="113" customFormat="1" ht="30" customHeight="1" x14ac:dyDescent="0.3">
      <c r="C99" s="114"/>
      <c r="D99" s="115"/>
      <c r="E99" s="115"/>
      <c r="F99" s="115"/>
      <c r="G99" s="115"/>
      <c r="H99" s="115"/>
      <c r="I99" s="115"/>
      <c r="J99" s="115"/>
      <c r="K99" s="115"/>
      <c r="L99" s="115"/>
    </row>
    <row r="100" spans="3:12" s="113" customFormat="1" ht="30" customHeight="1" x14ac:dyDescent="0.3">
      <c r="C100" s="114"/>
      <c r="D100" s="115"/>
      <c r="E100" s="115"/>
      <c r="F100" s="115"/>
      <c r="G100" s="115"/>
      <c r="H100" s="115"/>
      <c r="I100" s="115"/>
      <c r="J100" s="115"/>
      <c r="K100" s="115"/>
      <c r="L100" s="115"/>
    </row>
    <row r="101" spans="3:12" s="113" customFormat="1" ht="30" customHeight="1" x14ac:dyDescent="0.3">
      <c r="C101" s="114"/>
      <c r="D101" s="115"/>
      <c r="E101" s="115"/>
      <c r="F101" s="115"/>
      <c r="G101" s="115"/>
      <c r="H101" s="115"/>
      <c r="I101" s="115"/>
      <c r="J101" s="115"/>
      <c r="K101" s="115"/>
      <c r="L101" s="115"/>
    </row>
    <row r="102" spans="3:12" s="113" customFormat="1" ht="30" customHeight="1" x14ac:dyDescent="0.3">
      <c r="C102" s="114"/>
      <c r="D102" s="115"/>
      <c r="E102" s="115"/>
      <c r="F102" s="115"/>
      <c r="G102" s="115"/>
      <c r="H102" s="115"/>
      <c r="I102" s="115"/>
      <c r="J102" s="115"/>
      <c r="K102" s="115"/>
      <c r="L102" s="115"/>
    </row>
    <row r="103" spans="3:12" s="113" customFormat="1" ht="30" customHeight="1" x14ac:dyDescent="0.3">
      <c r="C103" s="114"/>
      <c r="D103" s="115"/>
      <c r="E103" s="115"/>
      <c r="F103" s="115"/>
      <c r="G103" s="115"/>
      <c r="H103" s="115"/>
      <c r="I103" s="115"/>
      <c r="J103" s="115"/>
      <c r="K103" s="115"/>
      <c r="L103" s="115"/>
    </row>
    <row r="104" spans="3:12" s="113" customFormat="1" ht="30" customHeight="1" x14ac:dyDescent="0.3">
      <c r="C104" s="114"/>
      <c r="D104" s="115"/>
      <c r="E104" s="115"/>
      <c r="F104" s="115"/>
      <c r="G104" s="115"/>
      <c r="H104" s="115"/>
      <c r="I104" s="115"/>
      <c r="J104" s="115"/>
      <c r="K104" s="115"/>
      <c r="L104" s="115"/>
    </row>
    <row r="105" spans="3:12" s="113" customFormat="1" ht="30" customHeight="1" x14ac:dyDescent="0.3">
      <c r="C105" s="114"/>
      <c r="D105" s="115"/>
      <c r="E105" s="115"/>
      <c r="F105" s="115"/>
      <c r="G105" s="115"/>
      <c r="H105" s="115"/>
      <c r="I105" s="115"/>
      <c r="J105" s="115"/>
      <c r="K105" s="115"/>
      <c r="L105" s="115"/>
    </row>
    <row r="106" spans="3:12" s="113" customFormat="1" ht="30" customHeight="1" x14ac:dyDescent="0.3">
      <c r="C106" s="114"/>
      <c r="D106" s="115"/>
      <c r="E106" s="115"/>
      <c r="F106" s="115"/>
      <c r="G106" s="115"/>
      <c r="H106" s="115"/>
      <c r="I106" s="115"/>
      <c r="J106" s="115"/>
      <c r="K106" s="115"/>
      <c r="L106" s="115"/>
    </row>
    <row r="107" spans="3:12" s="113" customFormat="1" ht="30" customHeight="1" x14ac:dyDescent="0.3">
      <c r="C107" s="114"/>
      <c r="D107" s="115"/>
      <c r="E107" s="115"/>
      <c r="F107" s="115"/>
      <c r="G107" s="115"/>
      <c r="H107" s="115"/>
      <c r="I107" s="115"/>
      <c r="J107" s="115"/>
      <c r="K107" s="115"/>
      <c r="L107" s="115"/>
    </row>
    <row r="108" spans="3:12" s="113" customFormat="1" ht="30" customHeight="1" x14ac:dyDescent="0.3">
      <c r="C108" s="114"/>
      <c r="D108" s="115"/>
      <c r="E108" s="115"/>
      <c r="F108" s="115"/>
      <c r="G108" s="115"/>
      <c r="H108" s="115"/>
      <c r="I108" s="115"/>
      <c r="J108" s="115"/>
      <c r="K108" s="115"/>
      <c r="L108" s="115"/>
    </row>
    <row r="109" spans="3:12" s="113" customFormat="1" ht="30" customHeight="1" x14ac:dyDescent="0.3">
      <c r="C109" s="114"/>
      <c r="D109" s="115"/>
      <c r="E109" s="115"/>
      <c r="F109" s="115"/>
      <c r="G109" s="115"/>
      <c r="H109" s="115"/>
      <c r="I109" s="115"/>
      <c r="J109" s="115"/>
      <c r="K109" s="115"/>
      <c r="L109" s="115"/>
    </row>
    <row r="110" spans="3:12" s="113" customFormat="1" ht="30" customHeight="1" x14ac:dyDescent="0.3">
      <c r="C110" s="114"/>
      <c r="D110" s="115"/>
      <c r="E110" s="115"/>
      <c r="F110" s="115"/>
      <c r="G110" s="115"/>
      <c r="H110" s="115"/>
      <c r="I110" s="115"/>
      <c r="J110" s="115"/>
      <c r="K110" s="115"/>
      <c r="L110" s="115"/>
    </row>
    <row r="111" spans="3:12" s="113" customFormat="1" ht="30" customHeight="1" x14ac:dyDescent="0.3">
      <c r="C111" s="114"/>
      <c r="D111" s="115"/>
      <c r="E111" s="115"/>
      <c r="F111" s="115"/>
      <c r="G111" s="115"/>
      <c r="H111" s="115"/>
      <c r="I111" s="115"/>
      <c r="J111" s="115"/>
      <c r="K111" s="115"/>
      <c r="L111" s="115"/>
    </row>
    <row r="112" spans="3:12" s="113" customFormat="1" ht="30" customHeight="1" x14ac:dyDescent="0.3">
      <c r="C112" s="114"/>
      <c r="D112" s="115"/>
      <c r="E112" s="115"/>
      <c r="F112" s="115"/>
      <c r="G112" s="115"/>
      <c r="H112" s="115"/>
      <c r="I112" s="115"/>
      <c r="J112" s="115"/>
      <c r="K112" s="115"/>
      <c r="L112" s="115"/>
    </row>
    <row r="113" spans="3:12" s="113" customFormat="1" ht="30" customHeight="1" x14ac:dyDescent="0.3">
      <c r="C113" s="114"/>
      <c r="D113" s="115"/>
      <c r="E113" s="115"/>
      <c r="F113" s="115"/>
      <c r="G113" s="115"/>
      <c r="H113" s="115"/>
      <c r="I113" s="115"/>
      <c r="J113" s="115"/>
      <c r="K113" s="115"/>
      <c r="L113" s="115"/>
    </row>
    <row r="114" spans="3:12" s="113" customFormat="1" ht="30" customHeight="1" x14ac:dyDescent="0.3">
      <c r="C114" s="114"/>
      <c r="D114" s="115"/>
      <c r="E114" s="115"/>
      <c r="F114" s="115"/>
      <c r="G114" s="115"/>
      <c r="H114" s="115"/>
      <c r="I114" s="115"/>
      <c r="J114" s="115"/>
      <c r="K114" s="115"/>
      <c r="L114" s="115"/>
    </row>
    <row r="115" spans="3:12" s="113" customFormat="1" ht="30" customHeight="1" x14ac:dyDescent="0.3">
      <c r="C115" s="114"/>
      <c r="D115" s="115"/>
      <c r="E115" s="115"/>
      <c r="F115" s="115"/>
      <c r="G115" s="115"/>
      <c r="H115" s="115"/>
      <c r="I115" s="115"/>
      <c r="J115" s="115"/>
      <c r="K115" s="115"/>
      <c r="L115" s="115"/>
    </row>
    <row r="116" spans="3:12" s="113" customFormat="1" ht="30" customHeight="1" x14ac:dyDescent="0.3">
      <c r="C116" s="114"/>
      <c r="D116" s="115"/>
      <c r="E116" s="115"/>
      <c r="F116" s="115"/>
      <c r="G116" s="115"/>
      <c r="H116" s="115"/>
      <c r="I116" s="115"/>
      <c r="J116" s="115"/>
      <c r="K116" s="115"/>
      <c r="L116" s="115"/>
    </row>
    <row r="117" spans="3:12" s="113" customFormat="1" ht="30" customHeight="1" x14ac:dyDescent="0.3">
      <c r="C117" s="114"/>
      <c r="D117" s="115"/>
      <c r="E117" s="115"/>
      <c r="F117" s="115"/>
      <c r="G117" s="115"/>
      <c r="H117" s="115"/>
      <c r="I117" s="115"/>
      <c r="J117" s="115"/>
      <c r="K117" s="115"/>
      <c r="L117" s="115"/>
    </row>
    <row r="118" spans="3:12" s="113" customFormat="1" ht="30" customHeight="1" x14ac:dyDescent="0.3">
      <c r="C118" s="114"/>
      <c r="D118" s="115"/>
      <c r="E118" s="115"/>
      <c r="F118" s="115"/>
      <c r="G118" s="115"/>
      <c r="H118" s="115"/>
      <c r="I118" s="115"/>
      <c r="J118" s="115"/>
      <c r="K118" s="115"/>
      <c r="L118" s="115"/>
    </row>
    <row r="119" spans="3:12" s="113" customFormat="1" ht="30" customHeight="1" x14ac:dyDescent="0.3">
      <c r="C119" s="114"/>
      <c r="D119" s="115"/>
      <c r="E119" s="115"/>
      <c r="F119" s="115"/>
      <c r="G119" s="115"/>
      <c r="H119" s="115"/>
      <c r="I119" s="115"/>
      <c r="J119" s="115"/>
      <c r="K119" s="115"/>
      <c r="L119" s="115"/>
    </row>
    <row r="120" spans="3:12" s="113" customFormat="1" ht="30" customHeight="1" x14ac:dyDescent="0.3">
      <c r="C120" s="114"/>
      <c r="D120" s="115"/>
      <c r="E120" s="115"/>
      <c r="F120" s="115"/>
      <c r="G120" s="115"/>
      <c r="H120" s="115"/>
      <c r="I120" s="115"/>
      <c r="J120" s="115"/>
      <c r="K120" s="115"/>
      <c r="L120" s="115"/>
    </row>
    <row r="121" spans="3:12" s="113" customFormat="1" ht="30" customHeight="1" x14ac:dyDescent="0.3">
      <c r="C121" s="114"/>
      <c r="D121" s="115"/>
      <c r="E121" s="115"/>
      <c r="F121" s="115"/>
      <c r="G121" s="115"/>
      <c r="H121" s="115"/>
      <c r="I121" s="115"/>
      <c r="J121" s="115"/>
      <c r="K121" s="115"/>
      <c r="L121" s="115"/>
    </row>
    <row r="122" spans="3:12" s="113" customFormat="1" ht="30" customHeight="1" x14ac:dyDescent="0.3">
      <c r="C122" s="114"/>
      <c r="D122" s="115"/>
      <c r="E122" s="115"/>
      <c r="F122" s="115"/>
      <c r="G122" s="115"/>
      <c r="H122" s="115"/>
      <c r="I122" s="115"/>
      <c r="J122" s="115"/>
      <c r="K122" s="115"/>
      <c r="L122" s="115"/>
    </row>
    <row r="123" spans="3:12" s="113" customFormat="1" ht="30" customHeight="1" x14ac:dyDescent="0.3">
      <c r="C123" s="114"/>
      <c r="D123" s="115"/>
      <c r="E123" s="115"/>
      <c r="F123" s="115"/>
      <c r="G123" s="115"/>
      <c r="H123" s="115"/>
      <c r="I123" s="115"/>
      <c r="J123" s="115"/>
      <c r="K123" s="115"/>
      <c r="L123" s="115"/>
    </row>
    <row r="124" spans="3:12" s="113" customFormat="1" ht="30" customHeight="1" x14ac:dyDescent="0.3">
      <c r="C124" s="114"/>
      <c r="D124" s="115"/>
      <c r="E124" s="115"/>
      <c r="F124" s="115"/>
      <c r="G124" s="115"/>
      <c r="H124" s="115"/>
      <c r="I124" s="115"/>
      <c r="J124" s="115"/>
      <c r="K124" s="115"/>
      <c r="L124" s="115"/>
    </row>
    <row r="125" spans="3:12" s="113" customFormat="1" ht="30" customHeight="1" x14ac:dyDescent="0.3">
      <c r="C125" s="114"/>
      <c r="D125" s="115"/>
      <c r="E125" s="115"/>
      <c r="F125" s="115"/>
      <c r="G125" s="115"/>
      <c r="H125" s="115"/>
      <c r="I125" s="115"/>
      <c r="J125" s="115"/>
      <c r="K125" s="115"/>
      <c r="L125" s="115"/>
    </row>
    <row r="126" spans="3:12" s="113" customFormat="1" ht="30" customHeight="1" x14ac:dyDescent="0.3">
      <c r="C126" s="114"/>
      <c r="D126" s="115"/>
      <c r="E126" s="115"/>
      <c r="F126" s="115"/>
      <c r="G126" s="115"/>
      <c r="H126" s="115"/>
      <c r="I126" s="115"/>
      <c r="J126" s="115"/>
      <c r="K126" s="115"/>
      <c r="L126" s="115"/>
    </row>
    <row r="127" spans="3:12" s="113" customFormat="1" ht="30" customHeight="1" x14ac:dyDescent="0.3">
      <c r="C127" s="114"/>
      <c r="D127" s="115"/>
      <c r="E127" s="115"/>
      <c r="F127" s="115"/>
      <c r="G127" s="115"/>
      <c r="H127" s="115"/>
      <c r="I127" s="115"/>
      <c r="J127" s="115"/>
      <c r="K127" s="115"/>
      <c r="L127" s="115"/>
    </row>
    <row r="128" spans="3:12" s="113" customFormat="1" ht="30" customHeight="1" x14ac:dyDescent="0.3">
      <c r="C128" s="114"/>
      <c r="D128" s="115"/>
      <c r="E128" s="115"/>
      <c r="F128" s="115"/>
      <c r="G128" s="115"/>
      <c r="H128" s="115"/>
      <c r="I128" s="115"/>
      <c r="J128" s="115"/>
      <c r="K128" s="115"/>
      <c r="L128" s="115"/>
    </row>
    <row r="129" spans="3:12" s="113" customFormat="1" ht="30" customHeight="1" x14ac:dyDescent="0.3">
      <c r="C129" s="114"/>
      <c r="D129" s="115"/>
      <c r="E129" s="115"/>
      <c r="F129" s="115"/>
      <c r="G129" s="115"/>
      <c r="H129" s="115"/>
      <c r="I129" s="115"/>
      <c r="J129" s="115"/>
      <c r="K129" s="115"/>
      <c r="L129" s="115"/>
    </row>
    <row r="130" spans="3:12" s="113" customFormat="1" ht="30" customHeight="1" x14ac:dyDescent="0.3">
      <c r="C130" s="114"/>
      <c r="D130" s="115"/>
      <c r="E130" s="115"/>
      <c r="F130" s="115"/>
      <c r="G130" s="115"/>
      <c r="H130" s="115"/>
      <c r="I130" s="115"/>
      <c r="J130" s="115"/>
      <c r="K130" s="115"/>
      <c r="L130" s="115"/>
    </row>
    <row r="131" spans="3:12" s="113" customFormat="1" ht="30" customHeight="1" x14ac:dyDescent="0.3">
      <c r="C131" s="114"/>
      <c r="D131" s="115"/>
      <c r="E131" s="115"/>
      <c r="F131" s="115"/>
      <c r="G131" s="115"/>
      <c r="H131" s="115"/>
      <c r="I131" s="115"/>
      <c r="J131" s="115"/>
      <c r="K131" s="115"/>
      <c r="L131" s="115"/>
    </row>
    <row r="132" spans="3:12" s="113" customFormat="1" ht="30" customHeight="1" x14ac:dyDescent="0.3">
      <c r="C132" s="114"/>
      <c r="D132" s="115"/>
      <c r="E132" s="115"/>
      <c r="F132" s="115"/>
      <c r="G132" s="115"/>
      <c r="H132" s="115"/>
      <c r="I132" s="115"/>
      <c r="J132" s="115"/>
      <c r="K132" s="115"/>
      <c r="L132" s="115"/>
    </row>
    <row r="133" spans="3:12" s="113" customFormat="1" ht="30" customHeight="1" x14ac:dyDescent="0.3">
      <c r="C133" s="114"/>
      <c r="D133" s="115"/>
      <c r="E133" s="115"/>
      <c r="F133" s="115"/>
      <c r="G133" s="115"/>
      <c r="H133" s="115"/>
      <c r="I133" s="115"/>
      <c r="J133" s="115"/>
      <c r="K133" s="115"/>
      <c r="L133" s="115"/>
    </row>
    <row r="134" spans="3:12" s="113" customFormat="1" ht="30" customHeight="1" x14ac:dyDescent="0.3">
      <c r="C134" s="114"/>
      <c r="D134" s="115"/>
      <c r="E134" s="115"/>
      <c r="F134" s="115"/>
      <c r="G134" s="115"/>
      <c r="H134" s="115"/>
      <c r="I134" s="115"/>
      <c r="J134" s="115"/>
      <c r="K134" s="115"/>
      <c r="L134" s="115"/>
    </row>
    <row r="135" spans="3:12" s="113" customFormat="1" ht="30" customHeight="1" x14ac:dyDescent="0.3">
      <c r="C135" s="114"/>
      <c r="D135" s="115"/>
      <c r="E135" s="115"/>
      <c r="F135" s="115"/>
      <c r="G135" s="115"/>
      <c r="H135" s="115"/>
      <c r="I135" s="115"/>
      <c r="J135" s="115"/>
      <c r="K135" s="115"/>
      <c r="L135" s="115"/>
    </row>
    <row r="136" spans="3:12" s="113" customFormat="1" ht="45" customHeight="1" x14ac:dyDescent="0.3">
      <c r="C136" s="114"/>
      <c r="D136" s="115"/>
      <c r="E136" s="115"/>
      <c r="F136" s="115"/>
      <c r="G136" s="115"/>
      <c r="H136" s="115"/>
      <c r="I136" s="115"/>
      <c r="J136" s="115"/>
      <c r="K136" s="115"/>
      <c r="L136" s="115"/>
    </row>
    <row r="137" spans="3:12" s="113" customFormat="1" ht="30" customHeight="1" x14ac:dyDescent="0.3">
      <c r="C137" s="114"/>
      <c r="D137" s="115"/>
      <c r="E137" s="115"/>
      <c r="F137" s="115"/>
      <c r="G137" s="115"/>
      <c r="H137" s="115"/>
      <c r="I137" s="115"/>
      <c r="J137" s="115"/>
      <c r="K137" s="115"/>
      <c r="L137" s="115"/>
    </row>
    <row r="138" spans="3:12" s="113" customFormat="1" ht="30" customHeight="1" x14ac:dyDescent="0.3">
      <c r="C138" s="114"/>
      <c r="D138" s="115"/>
      <c r="E138" s="115"/>
      <c r="F138" s="115"/>
      <c r="G138" s="115"/>
      <c r="H138" s="115"/>
      <c r="I138" s="115"/>
      <c r="J138" s="115"/>
      <c r="K138" s="115"/>
      <c r="L138" s="115"/>
    </row>
    <row r="139" spans="3:12" s="113" customFormat="1" ht="30" customHeight="1" x14ac:dyDescent="0.3">
      <c r="C139" s="114"/>
      <c r="D139" s="115"/>
      <c r="E139" s="115"/>
      <c r="F139" s="115"/>
      <c r="G139" s="115"/>
      <c r="H139" s="115"/>
      <c r="I139" s="115"/>
      <c r="J139" s="115"/>
      <c r="K139" s="115"/>
      <c r="L139" s="115"/>
    </row>
    <row r="140" spans="3:12" s="113" customFormat="1" ht="30" customHeight="1" x14ac:dyDescent="0.3">
      <c r="C140" s="114"/>
      <c r="D140" s="115"/>
      <c r="E140" s="115"/>
      <c r="F140" s="115"/>
      <c r="G140" s="115"/>
      <c r="H140" s="115"/>
      <c r="I140" s="115"/>
      <c r="J140" s="115"/>
      <c r="K140" s="115"/>
      <c r="L140" s="115"/>
    </row>
    <row r="141" spans="3:12" s="113" customFormat="1" ht="30" customHeight="1" x14ac:dyDescent="0.3">
      <c r="C141" s="114"/>
      <c r="D141" s="115"/>
      <c r="E141" s="115"/>
      <c r="F141" s="115"/>
      <c r="G141" s="115"/>
      <c r="H141" s="115"/>
      <c r="I141" s="115"/>
      <c r="J141" s="115"/>
      <c r="K141" s="115"/>
      <c r="L141" s="115"/>
    </row>
    <row r="142" spans="3:12" s="113" customFormat="1" ht="30" customHeight="1" x14ac:dyDescent="0.3">
      <c r="C142" s="114"/>
      <c r="D142" s="115"/>
      <c r="E142" s="115"/>
      <c r="F142" s="115"/>
      <c r="G142" s="115"/>
      <c r="H142" s="115"/>
      <c r="I142" s="115"/>
      <c r="J142" s="115"/>
      <c r="K142" s="115"/>
      <c r="L142" s="115"/>
    </row>
    <row r="143" spans="3:12" s="113" customFormat="1" ht="30" customHeight="1" x14ac:dyDescent="0.3">
      <c r="C143" s="114"/>
      <c r="D143" s="115"/>
      <c r="E143" s="115"/>
      <c r="F143" s="115"/>
      <c r="G143" s="115"/>
      <c r="H143" s="115"/>
      <c r="I143" s="115"/>
      <c r="J143" s="115"/>
      <c r="K143" s="115"/>
      <c r="L143" s="115"/>
    </row>
    <row r="144" spans="3:12" s="113" customFormat="1" ht="30" customHeight="1" x14ac:dyDescent="0.3">
      <c r="C144" s="114"/>
      <c r="D144" s="115"/>
      <c r="E144" s="115"/>
      <c r="F144" s="115"/>
      <c r="G144" s="115"/>
      <c r="H144" s="115"/>
      <c r="I144" s="115"/>
      <c r="J144" s="115"/>
      <c r="K144" s="115"/>
      <c r="L144" s="115"/>
    </row>
    <row r="145" spans="3:12" s="113" customFormat="1" ht="30" customHeight="1" x14ac:dyDescent="0.3">
      <c r="C145" s="114"/>
      <c r="D145" s="115"/>
      <c r="E145" s="115"/>
      <c r="F145" s="115"/>
      <c r="G145" s="115"/>
      <c r="H145" s="115"/>
      <c r="I145" s="115"/>
      <c r="J145" s="115"/>
      <c r="K145" s="115"/>
      <c r="L145" s="115"/>
    </row>
    <row r="146" spans="3:12" s="113" customFormat="1" ht="30" customHeight="1" x14ac:dyDescent="0.3">
      <c r="C146" s="114"/>
      <c r="D146" s="115"/>
      <c r="E146" s="115"/>
      <c r="F146" s="115"/>
      <c r="G146" s="115"/>
      <c r="H146" s="115"/>
      <c r="I146" s="115"/>
      <c r="J146" s="115"/>
      <c r="K146" s="115"/>
      <c r="L146" s="115"/>
    </row>
    <row r="147" spans="3:12" s="113" customFormat="1" ht="30" customHeight="1" x14ac:dyDescent="0.3">
      <c r="C147" s="114"/>
      <c r="D147" s="115"/>
      <c r="E147" s="115"/>
      <c r="F147" s="115"/>
      <c r="G147" s="115"/>
      <c r="H147" s="115"/>
      <c r="I147" s="115"/>
      <c r="J147" s="115"/>
      <c r="K147" s="115"/>
      <c r="L147" s="115"/>
    </row>
    <row r="148" spans="3:12" s="113" customFormat="1" ht="30" customHeight="1" x14ac:dyDescent="0.3">
      <c r="C148" s="114"/>
      <c r="D148" s="115"/>
      <c r="E148" s="115"/>
      <c r="F148" s="115"/>
      <c r="G148" s="115"/>
      <c r="H148" s="115"/>
      <c r="I148" s="115"/>
      <c r="J148" s="115"/>
      <c r="K148" s="115"/>
      <c r="L148" s="115"/>
    </row>
    <row r="149" spans="3:12" s="113" customFormat="1" ht="30" customHeight="1" x14ac:dyDescent="0.3">
      <c r="C149" s="114"/>
      <c r="D149" s="115"/>
      <c r="E149" s="115"/>
      <c r="F149" s="115"/>
      <c r="G149" s="115"/>
      <c r="H149" s="115"/>
      <c r="I149" s="115"/>
      <c r="J149" s="115"/>
      <c r="K149" s="115"/>
      <c r="L149" s="115"/>
    </row>
    <row r="150" spans="3:12" s="113" customFormat="1" ht="30" customHeight="1" x14ac:dyDescent="0.3">
      <c r="C150" s="114"/>
      <c r="D150" s="115"/>
      <c r="E150" s="115"/>
      <c r="F150" s="115"/>
      <c r="G150" s="115"/>
      <c r="H150" s="115"/>
      <c r="I150" s="115"/>
      <c r="J150" s="115"/>
      <c r="K150" s="115"/>
      <c r="L150" s="115"/>
    </row>
    <row r="151" spans="3:12" s="113" customFormat="1" ht="30" customHeight="1" x14ac:dyDescent="0.3">
      <c r="C151" s="114"/>
      <c r="D151" s="115"/>
      <c r="E151" s="115"/>
      <c r="F151" s="115"/>
      <c r="G151" s="115"/>
      <c r="H151" s="115"/>
      <c r="I151" s="115"/>
      <c r="J151" s="115"/>
      <c r="K151" s="115"/>
      <c r="L151" s="115"/>
    </row>
    <row r="152" spans="3:12" s="113" customFormat="1" ht="30" customHeight="1" x14ac:dyDescent="0.3">
      <c r="C152" s="114"/>
      <c r="D152" s="115"/>
      <c r="E152" s="115"/>
      <c r="F152" s="115"/>
      <c r="G152" s="115"/>
      <c r="H152" s="115"/>
      <c r="I152" s="115"/>
      <c r="J152" s="115"/>
      <c r="K152" s="115"/>
      <c r="L152" s="115"/>
    </row>
    <row r="153" spans="3:12" s="113" customFormat="1" ht="59.25" customHeight="1" x14ac:dyDescent="0.3">
      <c r="C153" s="114"/>
      <c r="D153" s="115"/>
      <c r="E153" s="115"/>
      <c r="F153" s="115"/>
      <c r="G153" s="115"/>
      <c r="H153" s="115"/>
      <c r="I153" s="115"/>
      <c r="J153" s="115"/>
      <c r="K153" s="115"/>
      <c r="L153" s="115"/>
    </row>
  </sheetData>
  <conditionalFormatting sqref="B1:B18">
    <cfRule type="cellIs" dxfId="15" priority="7" operator="equal">
      <formula>"Highly Advantageous"</formula>
    </cfRule>
  </conditionalFormatting>
  <conditionalFormatting sqref="B1:B1048576">
    <cfRule type="cellIs" dxfId="14" priority="5" operator="equal">
      <formula>"Not Needed"</formula>
    </cfRule>
    <cfRule type="cellIs" dxfId="13" priority="6" operator="equal">
      <formula>"Extremely Advantageous"</formula>
    </cfRule>
  </conditionalFormatting>
  <conditionalFormatting sqref="B2:B17">
    <cfRule type="cellIs" dxfId="12" priority="8" operator="equal">
      <formula>"Mandatory"</formula>
    </cfRule>
  </conditionalFormatting>
  <conditionalFormatting sqref="B18:B19">
    <cfRule type="cellIs" dxfId="11" priority="4" operator="equal">
      <formula>"Mandatory"</formula>
    </cfRule>
  </conditionalFormatting>
  <conditionalFormatting sqref="B19">
    <cfRule type="cellIs" dxfId="10" priority="2" operator="equal">
      <formula>"Informational"</formula>
    </cfRule>
    <cfRule type="cellIs" dxfId="9" priority="3" operator="equal">
      <formula>"Critical"</formula>
    </cfRule>
  </conditionalFormatting>
  <conditionalFormatting sqref="B20:B69">
    <cfRule type="cellIs" dxfId="8" priority="18" operator="equal">
      <formula>"Mandatory"</formula>
    </cfRule>
  </conditionalFormatting>
  <conditionalFormatting sqref="B20:B1048576">
    <cfRule type="cellIs" dxfId="7" priority="15" operator="equal">
      <formula>"Highly Advantageous"</formula>
    </cfRule>
  </conditionalFormatting>
  <conditionalFormatting sqref="B71:B92">
    <cfRule type="cellIs" dxfId="6" priority="16" operator="equal">
      <formula>"Mandatory"</formula>
    </cfRule>
  </conditionalFormatting>
  <conditionalFormatting sqref="D6:D7">
    <cfRule type="cellIs" dxfId="5" priority="17" operator="equal">
      <formula>"Mandatory"</formula>
    </cfRule>
  </conditionalFormatting>
  <conditionalFormatting sqref="G1:G1048576">
    <cfRule type="cellIs" dxfId="4" priority="12" operator="equal">
      <formula>"Exception"</formula>
    </cfRule>
  </conditionalFormatting>
  <conditionalFormatting sqref="G3:G92">
    <cfRule type="cellIs" dxfId="3" priority="19"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7 B20:B92" xr:uid="{00000000-0002-0000-3100-000000000000}">
      <formula1>SpecType</formula1>
      <formula2>0</formula2>
    </dataValidation>
    <dataValidation type="list" allowBlank="1" showInputMessage="1" showErrorMessage="1" sqref="G3:G92" xr:uid="{00000000-0002-0000-3100-000001000000}">
      <formula1>Availability</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January, 2024 ©&amp;R&amp;"Arial,Bold"&amp;10&amp;P of &amp;N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C000"/>
  </sheetPr>
  <dimension ref="A1:K3271"/>
  <sheetViews>
    <sheetView topLeftCell="F1" zoomScaleNormal="100" workbookViewId="0">
      <pane ySplit="1" topLeftCell="A112" activePane="bottomLeft" state="frozen"/>
      <selection activeCell="F1" sqref="F1"/>
      <selection pane="bottomLeft" activeCell="F113" sqref="F113"/>
    </sheetView>
  </sheetViews>
  <sheetFormatPr defaultColWidth="9" defaultRowHeight="15" x14ac:dyDescent="0.25"/>
  <cols>
    <col min="1" max="2" width="11.59765625" style="619" hidden="1" customWidth="1"/>
    <col min="3" max="4" width="70.59765625" style="620" hidden="1" customWidth="1"/>
    <col min="5" max="5" width="6.59765625" style="620" hidden="1" customWidth="1"/>
    <col min="6" max="10" width="6.59765625" style="620" customWidth="1"/>
    <col min="11" max="16384" width="9" style="621"/>
  </cols>
  <sheetData>
    <row r="1" spans="1:11" s="625" customFormat="1" ht="105" customHeight="1" x14ac:dyDescent="0.25">
      <c r="A1" s="622" t="s">
        <v>102</v>
      </c>
      <c r="B1" s="623" t="s">
        <v>103</v>
      </c>
      <c r="C1" s="622" t="s">
        <v>1676</v>
      </c>
      <c r="D1" s="622" t="str">
        <f>'Support Data'!A19</f>
        <v>Contractor Work Area</v>
      </c>
      <c r="E1" s="624" t="str">
        <f>'Support Data'!$A$18</f>
        <v>Specifications</v>
      </c>
      <c r="F1" s="623" t="s">
        <v>78</v>
      </c>
      <c r="G1" s="623" t="s">
        <v>41</v>
      </c>
      <c r="H1" s="623" t="str">
        <f>'[4]Support Data'!$A$11</f>
        <v>Available in base</v>
      </c>
      <c r="I1" s="623" t="str">
        <f>'[4]Support Data'!$A$12</f>
        <v>Not available</v>
      </c>
      <c r="J1" s="623" t="str">
        <f>'[4]Support Data'!$A$13</f>
        <v>Exception</v>
      </c>
    </row>
    <row r="2" spans="1:11" ht="30" customHeight="1" x14ac:dyDescent="0.25">
      <c r="A2" s="626" t="s">
        <v>1677</v>
      </c>
      <c r="B2" s="627" t="s">
        <v>43</v>
      </c>
      <c r="C2" s="628" t="s">
        <v>1678</v>
      </c>
      <c r="D2" s="629"/>
      <c r="E2" s="629"/>
      <c r="F2" s="630">
        <v>1</v>
      </c>
      <c r="G2" s="631"/>
      <c r="H2" s="632"/>
      <c r="I2" s="633"/>
      <c r="J2" s="634"/>
      <c r="K2" s="635"/>
    </row>
    <row r="3" spans="1:11" ht="30" customHeight="1" x14ac:dyDescent="0.25">
      <c r="A3" s="626" t="s">
        <v>1679</v>
      </c>
      <c r="B3" s="636" t="s">
        <v>43</v>
      </c>
      <c r="C3" s="637" t="s">
        <v>1680</v>
      </c>
      <c r="D3" s="638"/>
      <c r="E3" s="638"/>
      <c r="F3" s="630">
        <v>1</v>
      </c>
      <c r="G3" s="631"/>
      <c r="H3" s="632"/>
      <c r="I3" s="633"/>
      <c r="J3" s="634"/>
      <c r="K3" s="635"/>
    </row>
    <row r="4" spans="1:11" ht="30" customHeight="1" x14ac:dyDescent="0.25">
      <c r="A4" s="626" t="s">
        <v>1681</v>
      </c>
      <c r="B4" s="636" t="s">
        <v>43</v>
      </c>
      <c r="C4" s="637" t="s">
        <v>1682</v>
      </c>
      <c r="D4" s="638"/>
      <c r="E4" s="638"/>
      <c r="F4" s="630">
        <v>1</v>
      </c>
      <c r="G4" s="631"/>
      <c r="H4" s="632"/>
      <c r="I4" s="633"/>
      <c r="J4" s="634"/>
      <c r="K4" s="635"/>
    </row>
    <row r="5" spans="1:11" ht="30" customHeight="1" x14ac:dyDescent="0.25">
      <c r="A5" s="626" t="s">
        <v>1683</v>
      </c>
      <c r="B5" s="636" t="s">
        <v>43</v>
      </c>
      <c r="C5" s="637" t="s">
        <v>1684</v>
      </c>
      <c r="D5" s="638"/>
      <c r="E5" s="638"/>
      <c r="F5" s="630">
        <v>1</v>
      </c>
      <c r="G5" s="631"/>
      <c r="H5" s="632"/>
      <c r="I5" s="633"/>
      <c r="J5" s="634"/>
      <c r="K5" s="635"/>
    </row>
    <row r="6" spans="1:11" ht="30" customHeight="1" x14ac:dyDescent="0.25">
      <c r="A6" s="626" t="s">
        <v>1685</v>
      </c>
      <c r="B6" s="636" t="s">
        <v>43</v>
      </c>
      <c r="C6" s="637" t="s">
        <v>1686</v>
      </c>
      <c r="D6" s="638"/>
      <c r="E6" s="638"/>
      <c r="F6" s="630">
        <v>1</v>
      </c>
      <c r="G6" s="631"/>
      <c r="H6" s="632"/>
      <c r="I6" s="633"/>
      <c r="J6" s="634"/>
      <c r="K6" s="635"/>
    </row>
    <row r="7" spans="1:11" ht="30" customHeight="1" x14ac:dyDescent="0.25">
      <c r="A7" s="626" t="s">
        <v>1687</v>
      </c>
      <c r="B7" s="639" t="s">
        <v>43</v>
      </c>
      <c r="C7" s="640" t="s">
        <v>1688</v>
      </c>
      <c r="D7" s="641"/>
      <c r="E7" s="641"/>
      <c r="F7" s="630">
        <v>1</v>
      </c>
      <c r="G7" s="631"/>
      <c r="H7" s="632"/>
      <c r="I7" s="633"/>
      <c r="J7" s="634"/>
      <c r="K7" s="635"/>
    </row>
    <row r="8" spans="1:11" ht="30" customHeight="1" x14ac:dyDescent="0.25">
      <c r="A8" s="626" t="s">
        <v>1689</v>
      </c>
      <c r="B8" s="639" t="s">
        <v>43</v>
      </c>
      <c r="C8" s="640" t="s">
        <v>1690</v>
      </c>
      <c r="D8" s="641"/>
      <c r="E8" s="641"/>
      <c r="F8" s="630">
        <v>1</v>
      </c>
      <c r="G8" s="631"/>
      <c r="H8" s="632"/>
      <c r="I8" s="633"/>
      <c r="J8" s="634"/>
      <c r="K8" s="635"/>
    </row>
    <row r="9" spans="1:11" ht="30" customHeight="1" x14ac:dyDescent="0.25">
      <c r="A9" s="626" t="s">
        <v>1691</v>
      </c>
      <c r="B9" s="639" t="s">
        <v>43</v>
      </c>
      <c r="C9" s="640" t="s">
        <v>1692</v>
      </c>
      <c r="D9" s="641"/>
      <c r="E9" s="641"/>
      <c r="F9" s="630">
        <v>1</v>
      </c>
      <c r="G9" s="631"/>
      <c r="H9" s="632"/>
      <c r="I9" s="633"/>
      <c r="J9" s="634"/>
      <c r="K9" s="635"/>
    </row>
    <row r="10" spans="1:11" ht="30" customHeight="1" x14ac:dyDescent="0.25">
      <c r="A10" s="626" t="s">
        <v>1693</v>
      </c>
      <c r="B10" s="639" t="s">
        <v>43</v>
      </c>
      <c r="C10" s="640" t="s">
        <v>1694</v>
      </c>
      <c r="D10" s="641"/>
      <c r="E10" s="641"/>
      <c r="F10" s="630">
        <v>1</v>
      </c>
      <c r="G10" s="631"/>
      <c r="H10" s="632"/>
      <c r="I10" s="633"/>
      <c r="J10" s="634"/>
      <c r="K10" s="635"/>
    </row>
    <row r="11" spans="1:11" ht="30" customHeight="1" x14ac:dyDescent="0.25">
      <c r="A11" s="626" t="s">
        <v>1695</v>
      </c>
      <c r="B11" s="639" t="s">
        <v>43</v>
      </c>
      <c r="C11" s="640" t="s">
        <v>1696</v>
      </c>
      <c r="D11" s="641"/>
      <c r="E11" s="641"/>
      <c r="F11" s="630">
        <v>1</v>
      </c>
      <c r="G11" s="631"/>
      <c r="H11" s="632"/>
      <c r="I11" s="633"/>
      <c r="J11" s="634"/>
      <c r="K11" s="635"/>
    </row>
    <row r="12" spans="1:11" ht="30" customHeight="1" x14ac:dyDescent="0.25">
      <c r="A12" s="626" t="s">
        <v>1697</v>
      </c>
      <c r="B12" s="639" t="s">
        <v>43</v>
      </c>
      <c r="C12" s="640" t="s">
        <v>1698</v>
      </c>
      <c r="D12" s="641"/>
      <c r="E12" s="641"/>
      <c r="F12" s="630">
        <v>1</v>
      </c>
      <c r="G12" s="631"/>
      <c r="H12" s="632"/>
      <c r="I12" s="633"/>
      <c r="J12" s="634"/>
      <c r="K12" s="635"/>
    </row>
    <row r="13" spans="1:11" ht="30" customHeight="1" x14ac:dyDescent="0.25">
      <c r="A13" s="626" t="s">
        <v>1699</v>
      </c>
      <c r="B13" s="639" t="s">
        <v>43</v>
      </c>
      <c r="C13" s="640" t="s">
        <v>1700</v>
      </c>
      <c r="D13" s="641"/>
      <c r="E13" s="641"/>
      <c r="F13" s="630">
        <v>1</v>
      </c>
      <c r="G13" s="631"/>
      <c r="H13" s="632"/>
      <c r="I13" s="633"/>
      <c r="J13" s="634"/>
      <c r="K13" s="635"/>
    </row>
    <row r="14" spans="1:11" ht="30" customHeight="1" x14ac:dyDescent="0.25">
      <c r="A14" s="626" t="s">
        <v>1701</v>
      </c>
      <c r="B14" s="639" t="s">
        <v>43</v>
      </c>
      <c r="C14" s="640" t="s">
        <v>1702</v>
      </c>
      <c r="D14" s="641"/>
      <c r="E14" s="641"/>
      <c r="F14" s="630">
        <v>1</v>
      </c>
      <c r="G14" s="631"/>
      <c r="H14" s="632"/>
      <c r="I14" s="633"/>
      <c r="J14" s="634"/>
      <c r="K14" s="635"/>
    </row>
    <row r="15" spans="1:11" ht="30" customHeight="1" x14ac:dyDescent="0.25">
      <c r="A15" s="626" t="s">
        <v>1703</v>
      </c>
      <c r="B15" s="639" t="s">
        <v>43</v>
      </c>
      <c r="C15" s="640" t="s">
        <v>1704</v>
      </c>
      <c r="D15" s="641"/>
      <c r="E15" s="641"/>
      <c r="F15" s="630">
        <v>1</v>
      </c>
      <c r="G15" s="631"/>
      <c r="H15" s="632"/>
      <c r="I15" s="633"/>
      <c r="J15" s="634"/>
      <c r="K15" s="635"/>
    </row>
    <row r="16" spans="1:11" ht="30" customHeight="1" x14ac:dyDescent="0.25">
      <c r="A16" s="626" t="s">
        <v>1705</v>
      </c>
      <c r="B16" s="639" t="s">
        <v>43</v>
      </c>
      <c r="C16" s="640" t="s">
        <v>1706</v>
      </c>
      <c r="D16" s="641"/>
      <c r="E16" s="641"/>
      <c r="F16" s="630">
        <v>1</v>
      </c>
      <c r="G16" s="631"/>
      <c r="H16" s="632"/>
      <c r="I16" s="633"/>
      <c r="J16" s="634"/>
      <c r="K16" s="635"/>
    </row>
    <row r="17" spans="1:11" ht="30" customHeight="1" x14ac:dyDescent="0.25">
      <c r="A17" s="626" t="s">
        <v>1707</v>
      </c>
      <c r="B17" s="639" t="s">
        <v>43</v>
      </c>
      <c r="C17" s="640" t="s">
        <v>1708</v>
      </c>
      <c r="D17" s="641"/>
      <c r="E17" s="641"/>
      <c r="F17" s="630">
        <v>1</v>
      </c>
      <c r="G17" s="631"/>
      <c r="H17" s="632"/>
      <c r="I17" s="633"/>
      <c r="J17" s="634"/>
      <c r="K17" s="635"/>
    </row>
    <row r="18" spans="1:11" ht="30" customHeight="1" x14ac:dyDescent="0.25">
      <c r="A18" s="626" t="s">
        <v>1709</v>
      </c>
      <c r="B18" s="639" t="s">
        <v>43</v>
      </c>
      <c r="C18" s="640" t="s">
        <v>1710</v>
      </c>
      <c r="D18" s="641"/>
      <c r="E18" s="641"/>
      <c r="F18" s="630">
        <v>1</v>
      </c>
      <c r="G18" s="631"/>
      <c r="H18" s="632"/>
      <c r="I18" s="633"/>
      <c r="J18" s="634"/>
      <c r="K18" s="635"/>
    </row>
    <row r="19" spans="1:11" ht="30" customHeight="1" x14ac:dyDescent="0.25">
      <c r="A19" s="626" t="s">
        <v>1711</v>
      </c>
      <c r="B19" s="639" t="s">
        <v>43</v>
      </c>
      <c r="C19" s="640" t="s">
        <v>1712</v>
      </c>
      <c r="D19" s="641"/>
      <c r="E19" s="641"/>
      <c r="F19" s="630">
        <v>1</v>
      </c>
      <c r="G19" s="631"/>
      <c r="H19" s="632"/>
      <c r="I19" s="633"/>
      <c r="J19" s="634"/>
      <c r="K19" s="635"/>
    </row>
    <row r="20" spans="1:11" ht="30" customHeight="1" x14ac:dyDescent="0.25">
      <c r="A20" s="626" t="s">
        <v>1713</v>
      </c>
      <c r="B20" s="639" t="s">
        <v>43</v>
      </c>
      <c r="C20" s="640" t="s">
        <v>1694</v>
      </c>
      <c r="D20" s="641"/>
      <c r="E20" s="641"/>
      <c r="F20" s="630">
        <v>1</v>
      </c>
      <c r="G20" s="631"/>
      <c r="H20" s="632"/>
      <c r="I20" s="633"/>
      <c r="J20" s="634"/>
      <c r="K20" s="635"/>
    </row>
    <row r="21" spans="1:11" ht="30" customHeight="1" x14ac:dyDescent="0.25">
      <c r="A21" s="626" t="s">
        <v>1714</v>
      </c>
      <c r="B21" s="639" t="s">
        <v>43</v>
      </c>
      <c r="C21" s="640" t="s">
        <v>1698</v>
      </c>
      <c r="D21" s="641"/>
      <c r="E21" s="641"/>
      <c r="F21" s="630">
        <v>1</v>
      </c>
      <c r="G21" s="631"/>
      <c r="H21" s="632"/>
      <c r="I21" s="633"/>
      <c r="J21" s="634"/>
      <c r="K21" s="635"/>
    </row>
    <row r="22" spans="1:11" ht="30" customHeight="1" x14ac:dyDescent="0.25">
      <c r="C22" s="642"/>
      <c r="D22" s="642"/>
      <c r="E22" s="642"/>
      <c r="F22" s="630">
        <v>1</v>
      </c>
      <c r="G22" s="631"/>
      <c r="H22" s="632"/>
      <c r="I22" s="633"/>
      <c r="J22" s="634"/>
    </row>
    <row r="23" spans="1:11" ht="30" customHeight="1" x14ac:dyDescent="0.25">
      <c r="C23" s="642"/>
      <c r="D23" s="642"/>
      <c r="E23" s="642"/>
      <c r="F23" s="630">
        <v>1</v>
      </c>
      <c r="G23" s="631"/>
      <c r="H23" s="632"/>
      <c r="I23" s="633"/>
      <c r="J23" s="634"/>
    </row>
    <row r="24" spans="1:11" ht="30" customHeight="1" x14ac:dyDescent="0.25">
      <c r="C24" s="642"/>
      <c r="D24" s="642"/>
      <c r="E24" s="642"/>
      <c r="F24" s="630">
        <v>1</v>
      </c>
      <c r="G24" s="631"/>
      <c r="H24" s="632"/>
      <c r="I24" s="633"/>
      <c r="J24" s="634"/>
    </row>
    <row r="25" spans="1:11" ht="30" customHeight="1" x14ac:dyDescent="0.25">
      <c r="C25" s="642"/>
      <c r="D25" s="642"/>
      <c r="E25" s="642"/>
      <c r="F25" s="630">
        <v>1</v>
      </c>
      <c r="G25" s="631"/>
      <c r="H25" s="632"/>
      <c r="I25" s="633"/>
      <c r="J25" s="634"/>
    </row>
    <row r="26" spans="1:11" ht="30" customHeight="1" x14ac:dyDescent="0.25">
      <c r="C26" s="642"/>
      <c r="D26" s="642"/>
      <c r="E26" s="642"/>
      <c r="F26" s="630">
        <v>1</v>
      </c>
      <c r="G26" s="631"/>
      <c r="H26" s="632"/>
      <c r="I26" s="633"/>
      <c r="J26" s="634"/>
    </row>
    <row r="27" spans="1:11" ht="30" customHeight="1" x14ac:dyDescent="0.25">
      <c r="C27" s="642"/>
      <c r="D27" s="642"/>
      <c r="E27" s="642"/>
      <c r="F27" s="630">
        <v>1</v>
      </c>
      <c r="G27" s="631"/>
      <c r="H27" s="632"/>
      <c r="I27" s="633"/>
      <c r="J27" s="634"/>
    </row>
    <row r="28" spans="1:11" ht="30" customHeight="1" x14ac:dyDescent="0.25">
      <c r="C28" s="642"/>
      <c r="D28" s="642"/>
      <c r="E28" s="642"/>
      <c r="F28" s="630">
        <v>1</v>
      </c>
      <c r="G28" s="631"/>
      <c r="H28" s="632"/>
      <c r="I28" s="633"/>
      <c r="J28" s="634"/>
    </row>
    <row r="29" spans="1:11" ht="30" customHeight="1" x14ac:dyDescent="0.25">
      <c r="C29" s="642"/>
      <c r="D29" s="642"/>
      <c r="E29" s="642"/>
      <c r="F29" s="630">
        <v>1</v>
      </c>
      <c r="G29" s="631"/>
      <c r="H29" s="632"/>
      <c r="I29" s="633"/>
      <c r="J29" s="634"/>
    </row>
    <row r="30" spans="1:11" ht="30" customHeight="1" x14ac:dyDescent="0.25">
      <c r="C30" s="642"/>
      <c r="D30" s="642"/>
      <c r="E30" s="642"/>
      <c r="F30" s="630">
        <v>1</v>
      </c>
      <c r="G30" s="631"/>
      <c r="H30" s="632"/>
      <c r="I30" s="633"/>
      <c r="J30" s="634"/>
    </row>
    <row r="31" spans="1:11" ht="30" customHeight="1" x14ac:dyDescent="0.25">
      <c r="C31" s="642"/>
      <c r="D31" s="642"/>
      <c r="E31" s="642"/>
      <c r="F31" s="630">
        <v>1</v>
      </c>
      <c r="G31" s="631"/>
      <c r="H31" s="632"/>
      <c r="I31" s="633"/>
      <c r="J31" s="634"/>
    </row>
    <row r="32" spans="1:11" ht="30" customHeight="1" x14ac:dyDescent="0.25">
      <c r="C32" s="642"/>
      <c r="D32" s="642"/>
      <c r="E32" s="642"/>
      <c r="F32" s="630">
        <v>1</v>
      </c>
      <c r="G32" s="631"/>
      <c r="H32" s="632"/>
      <c r="I32" s="633"/>
      <c r="J32" s="634"/>
    </row>
    <row r="33" spans="3:10" ht="30" customHeight="1" x14ac:dyDescent="0.25">
      <c r="C33" s="642"/>
      <c r="D33" s="642"/>
      <c r="E33" s="642"/>
      <c r="F33" s="630">
        <v>1</v>
      </c>
      <c r="G33" s="631"/>
      <c r="H33" s="632"/>
      <c r="I33" s="633"/>
      <c r="J33" s="634"/>
    </row>
    <row r="34" spans="3:10" ht="30" customHeight="1" x14ac:dyDescent="0.25">
      <c r="C34" s="642"/>
      <c r="D34" s="642"/>
      <c r="E34" s="642"/>
      <c r="F34" s="630">
        <v>1</v>
      </c>
      <c r="G34" s="631"/>
      <c r="H34" s="632"/>
      <c r="I34" s="633"/>
      <c r="J34" s="634"/>
    </row>
    <row r="35" spans="3:10" ht="30" customHeight="1" x14ac:dyDescent="0.25">
      <c r="C35" s="642"/>
      <c r="D35" s="642"/>
      <c r="E35" s="642"/>
      <c r="F35" s="630">
        <v>1</v>
      </c>
      <c r="G35" s="631"/>
      <c r="H35" s="632"/>
      <c r="I35" s="633"/>
      <c r="J35" s="634"/>
    </row>
    <row r="36" spans="3:10" ht="30" customHeight="1" x14ac:dyDescent="0.25">
      <c r="C36" s="642"/>
      <c r="D36" s="642"/>
      <c r="E36" s="642"/>
      <c r="F36" s="630">
        <v>1</v>
      </c>
      <c r="G36" s="631"/>
      <c r="H36" s="632"/>
      <c r="I36" s="633"/>
      <c r="J36" s="634"/>
    </row>
    <row r="37" spans="3:10" ht="30" customHeight="1" x14ac:dyDescent="0.25">
      <c r="C37" s="642"/>
      <c r="D37" s="642"/>
      <c r="E37" s="642"/>
      <c r="F37" s="630">
        <v>1</v>
      </c>
      <c r="G37" s="631"/>
      <c r="H37" s="632"/>
      <c r="I37" s="633"/>
      <c r="J37" s="634"/>
    </row>
    <row r="38" spans="3:10" ht="30" customHeight="1" x14ac:dyDescent="0.25">
      <c r="C38" s="642"/>
      <c r="D38" s="642"/>
      <c r="E38" s="642"/>
      <c r="F38" s="630">
        <v>1</v>
      </c>
      <c r="G38" s="631"/>
      <c r="H38" s="632"/>
      <c r="I38" s="633"/>
      <c r="J38" s="634"/>
    </row>
    <row r="39" spans="3:10" ht="30" customHeight="1" x14ac:dyDescent="0.25">
      <c r="C39" s="642"/>
      <c r="D39" s="642"/>
      <c r="E39" s="642"/>
      <c r="F39" s="630">
        <v>1</v>
      </c>
      <c r="G39" s="631"/>
      <c r="H39" s="632"/>
      <c r="I39" s="633"/>
      <c r="J39" s="634"/>
    </row>
    <row r="40" spans="3:10" ht="30" customHeight="1" x14ac:dyDescent="0.25">
      <c r="C40" s="642"/>
      <c r="D40" s="642"/>
      <c r="E40" s="642"/>
      <c r="F40" s="630">
        <v>1</v>
      </c>
      <c r="G40" s="631"/>
      <c r="H40" s="632"/>
      <c r="I40" s="633"/>
      <c r="J40" s="634"/>
    </row>
    <row r="41" spans="3:10" ht="30" customHeight="1" x14ac:dyDescent="0.25">
      <c r="C41" s="642"/>
      <c r="D41" s="642"/>
      <c r="E41" s="642"/>
      <c r="F41" s="630">
        <v>1</v>
      </c>
      <c r="G41" s="631"/>
      <c r="H41" s="632"/>
      <c r="I41" s="633"/>
      <c r="J41" s="634"/>
    </row>
    <row r="42" spans="3:10" ht="30" customHeight="1" x14ac:dyDescent="0.25">
      <c r="C42" s="642"/>
      <c r="D42" s="642"/>
      <c r="E42" s="642"/>
      <c r="F42" s="630">
        <v>1</v>
      </c>
      <c r="G42" s="631"/>
      <c r="H42" s="632"/>
      <c r="I42" s="633"/>
      <c r="J42" s="634"/>
    </row>
    <row r="43" spans="3:10" ht="30" customHeight="1" x14ac:dyDescent="0.25">
      <c r="C43" s="642"/>
      <c r="D43" s="642"/>
      <c r="E43" s="642"/>
      <c r="F43" s="630">
        <v>1</v>
      </c>
      <c r="G43" s="631"/>
      <c r="H43" s="632"/>
      <c r="I43" s="633"/>
      <c r="J43" s="634"/>
    </row>
    <row r="44" spans="3:10" ht="30" customHeight="1" x14ac:dyDescent="0.25">
      <c r="C44" s="642"/>
      <c r="D44" s="642"/>
      <c r="E44" s="642"/>
      <c r="F44" s="630">
        <v>1</v>
      </c>
      <c r="G44" s="631"/>
      <c r="H44" s="632"/>
      <c r="I44" s="633"/>
      <c r="J44" s="634"/>
    </row>
    <row r="45" spans="3:10" ht="30" customHeight="1" x14ac:dyDescent="0.25">
      <c r="C45" s="642"/>
      <c r="D45" s="642"/>
      <c r="E45" s="642"/>
      <c r="F45" s="630">
        <v>1</v>
      </c>
      <c r="G45" s="631"/>
      <c r="H45" s="632"/>
      <c r="I45" s="633"/>
      <c r="J45" s="634"/>
    </row>
    <row r="46" spans="3:10" ht="30" customHeight="1" x14ac:dyDescent="0.25">
      <c r="C46" s="642"/>
      <c r="D46" s="642"/>
      <c r="E46" s="642"/>
      <c r="F46" s="630">
        <v>1</v>
      </c>
      <c r="G46" s="631"/>
      <c r="H46" s="632"/>
      <c r="I46" s="633"/>
      <c r="J46" s="634"/>
    </row>
    <row r="47" spans="3:10" ht="30" customHeight="1" x14ac:dyDescent="0.25">
      <c r="C47" s="642"/>
      <c r="D47" s="642"/>
      <c r="E47" s="642"/>
      <c r="F47" s="630">
        <v>1</v>
      </c>
      <c r="G47" s="631"/>
      <c r="H47" s="632"/>
      <c r="I47" s="633"/>
      <c r="J47" s="634"/>
    </row>
    <row r="48" spans="3:10" ht="30" customHeight="1" x14ac:dyDescent="0.25">
      <c r="C48" s="642"/>
      <c r="D48" s="642"/>
      <c r="E48" s="642"/>
      <c r="F48" s="630">
        <v>1</v>
      </c>
      <c r="G48" s="631"/>
      <c r="H48" s="632"/>
      <c r="I48" s="633"/>
      <c r="J48" s="634"/>
    </row>
    <row r="49" spans="3:10" ht="30" customHeight="1" x14ac:dyDescent="0.25">
      <c r="C49" s="642"/>
      <c r="D49" s="642"/>
      <c r="E49" s="642"/>
      <c r="F49" s="630">
        <v>1</v>
      </c>
      <c r="G49" s="631"/>
      <c r="H49" s="632"/>
      <c r="I49" s="633"/>
      <c r="J49" s="634"/>
    </row>
    <row r="50" spans="3:10" ht="30" customHeight="1" x14ac:dyDescent="0.25">
      <c r="C50" s="642"/>
      <c r="D50" s="642"/>
      <c r="E50" s="642"/>
      <c r="F50" s="630">
        <v>1</v>
      </c>
      <c r="G50" s="631"/>
      <c r="H50" s="632"/>
      <c r="I50" s="633"/>
      <c r="J50" s="634"/>
    </row>
    <row r="51" spans="3:10" ht="30" customHeight="1" x14ac:dyDescent="0.25">
      <c r="C51" s="642"/>
      <c r="D51" s="642"/>
      <c r="E51" s="642"/>
      <c r="F51" s="630">
        <v>1</v>
      </c>
      <c r="G51" s="631"/>
      <c r="H51" s="632"/>
      <c r="I51" s="633"/>
      <c r="J51" s="634"/>
    </row>
    <row r="52" spans="3:10" ht="30" customHeight="1" x14ac:dyDescent="0.25">
      <c r="C52" s="642"/>
      <c r="D52" s="642"/>
      <c r="E52" s="642"/>
      <c r="F52" s="630">
        <v>1</v>
      </c>
      <c r="G52" s="631"/>
      <c r="H52" s="632"/>
      <c r="I52" s="633"/>
      <c r="J52" s="634"/>
    </row>
    <row r="53" spans="3:10" ht="30" customHeight="1" x14ac:dyDescent="0.25">
      <c r="C53" s="642"/>
      <c r="D53" s="642"/>
      <c r="E53" s="642"/>
      <c r="F53" s="630">
        <v>1</v>
      </c>
      <c r="G53" s="631"/>
      <c r="H53" s="632"/>
      <c r="I53" s="633"/>
      <c r="J53" s="634"/>
    </row>
    <row r="54" spans="3:10" ht="30" customHeight="1" x14ac:dyDescent="0.25">
      <c r="C54" s="642"/>
      <c r="D54" s="642"/>
      <c r="E54" s="642"/>
      <c r="F54" s="630">
        <v>1</v>
      </c>
      <c r="G54" s="631"/>
      <c r="H54" s="632"/>
      <c r="I54" s="633"/>
      <c r="J54" s="634"/>
    </row>
    <row r="55" spans="3:10" ht="30" customHeight="1" x14ac:dyDescent="0.25">
      <c r="C55" s="642"/>
      <c r="D55" s="642"/>
      <c r="E55" s="642"/>
      <c r="F55" s="630">
        <v>1</v>
      </c>
      <c r="G55" s="631"/>
      <c r="H55" s="632"/>
      <c r="I55" s="633"/>
      <c r="J55" s="634"/>
    </row>
    <row r="56" spans="3:10" ht="30" customHeight="1" x14ac:dyDescent="0.25">
      <c r="C56" s="642"/>
      <c r="D56" s="642"/>
      <c r="E56" s="642"/>
      <c r="F56" s="630">
        <v>1</v>
      </c>
      <c r="G56" s="631"/>
      <c r="H56" s="632"/>
      <c r="I56" s="633"/>
      <c r="J56" s="634"/>
    </row>
    <row r="57" spans="3:10" ht="30" customHeight="1" x14ac:dyDescent="0.25">
      <c r="C57" s="642"/>
      <c r="D57" s="642"/>
      <c r="E57" s="642"/>
      <c r="F57" s="630">
        <v>1</v>
      </c>
      <c r="G57" s="631"/>
      <c r="H57" s="632"/>
      <c r="I57" s="633"/>
      <c r="J57" s="634"/>
    </row>
    <row r="58" spans="3:10" ht="30" customHeight="1" x14ac:dyDescent="0.25">
      <c r="C58" s="642"/>
      <c r="D58" s="642"/>
      <c r="E58" s="642"/>
      <c r="F58" s="630">
        <v>1</v>
      </c>
      <c r="G58" s="631"/>
      <c r="H58" s="632"/>
      <c r="I58" s="633"/>
      <c r="J58" s="634"/>
    </row>
    <row r="59" spans="3:10" ht="30" customHeight="1" x14ac:dyDescent="0.25">
      <c r="C59" s="642"/>
      <c r="D59" s="642"/>
      <c r="E59" s="642"/>
      <c r="F59" s="630">
        <v>1</v>
      </c>
      <c r="G59" s="631"/>
      <c r="H59" s="632"/>
      <c r="I59" s="633"/>
      <c r="J59" s="634"/>
    </row>
    <row r="60" spans="3:10" ht="30" customHeight="1" x14ac:dyDescent="0.25">
      <c r="C60" s="642"/>
      <c r="D60" s="642"/>
      <c r="E60" s="642"/>
      <c r="F60" s="630">
        <v>1</v>
      </c>
      <c r="G60" s="631"/>
      <c r="H60" s="632"/>
      <c r="I60" s="633"/>
      <c r="J60" s="634"/>
    </row>
    <row r="61" spans="3:10" ht="30" customHeight="1" x14ac:dyDescent="0.25">
      <c r="C61" s="642"/>
      <c r="D61" s="642"/>
      <c r="E61" s="642"/>
      <c r="F61" s="630">
        <v>1</v>
      </c>
      <c r="G61" s="631"/>
      <c r="H61" s="632"/>
      <c r="I61" s="633"/>
      <c r="J61" s="634"/>
    </row>
    <row r="62" spans="3:10" ht="30" customHeight="1" x14ac:dyDescent="0.25">
      <c r="C62" s="642"/>
      <c r="D62" s="642"/>
      <c r="E62" s="642"/>
      <c r="F62" s="630">
        <v>1</v>
      </c>
      <c r="G62" s="631"/>
      <c r="H62" s="632"/>
      <c r="I62" s="633"/>
      <c r="J62" s="634"/>
    </row>
    <row r="63" spans="3:10" ht="30" customHeight="1" x14ac:dyDescent="0.25">
      <c r="C63" s="642"/>
      <c r="D63" s="642"/>
      <c r="E63" s="642"/>
      <c r="F63" s="630">
        <v>1</v>
      </c>
      <c r="G63" s="631"/>
      <c r="H63" s="632"/>
      <c r="I63" s="633"/>
      <c r="J63" s="634"/>
    </row>
    <row r="64" spans="3:10" ht="30" customHeight="1" x14ac:dyDescent="0.25">
      <c r="C64" s="642"/>
      <c r="D64" s="642"/>
      <c r="E64" s="642"/>
      <c r="F64" s="630">
        <v>1</v>
      </c>
      <c r="G64" s="631"/>
      <c r="H64" s="632"/>
      <c r="I64" s="633"/>
      <c r="J64" s="634"/>
    </row>
    <row r="65" spans="3:10" ht="30" customHeight="1" x14ac:dyDescent="0.25">
      <c r="C65" s="642"/>
      <c r="D65" s="642"/>
      <c r="E65" s="642"/>
      <c r="F65" s="630">
        <v>1</v>
      </c>
      <c r="G65" s="631"/>
      <c r="H65" s="632"/>
      <c r="I65" s="633"/>
      <c r="J65" s="634"/>
    </row>
    <row r="66" spans="3:10" ht="30" customHeight="1" x14ac:dyDescent="0.25">
      <c r="C66" s="642"/>
      <c r="D66" s="642"/>
      <c r="E66" s="642"/>
      <c r="F66" s="630">
        <v>1</v>
      </c>
      <c r="G66" s="631"/>
      <c r="H66" s="632"/>
      <c r="I66" s="633"/>
      <c r="J66" s="634"/>
    </row>
    <row r="67" spans="3:10" ht="30" customHeight="1" x14ac:dyDescent="0.25">
      <c r="C67" s="642"/>
      <c r="D67" s="642"/>
      <c r="E67" s="642"/>
      <c r="F67" s="630">
        <v>1</v>
      </c>
      <c r="G67" s="631"/>
      <c r="H67" s="632"/>
      <c r="I67" s="633"/>
      <c r="J67" s="634"/>
    </row>
    <row r="68" spans="3:10" ht="30" customHeight="1" x14ac:dyDescent="0.25">
      <c r="C68" s="642"/>
      <c r="D68" s="642"/>
      <c r="E68" s="642"/>
      <c r="F68" s="630">
        <v>1</v>
      </c>
      <c r="G68" s="631"/>
      <c r="H68" s="632"/>
      <c r="I68" s="633"/>
      <c r="J68" s="634"/>
    </row>
    <row r="69" spans="3:10" ht="30" customHeight="1" x14ac:dyDescent="0.25">
      <c r="C69" s="642"/>
      <c r="D69" s="642"/>
      <c r="E69" s="642"/>
      <c r="F69" s="630">
        <v>1</v>
      </c>
      <c r="G69" s="631"/>
      <c r="H69" s="632"/>
      <c r="I69" s="633"/>
      <c r="J69" s="634"/>
    </row>
    <row r="70" spans="3:10" ht="30" customHeight="1" x14ac:dyDescent="0.25">
      <c r="C70" s="642"/>
      <c r="D70" s="642"/>
      <c r="E70" s="642"/>
      <c r="F70" s="630">
        <v>1</v>
      </c>
      <c r="G70" s="631"/>
      <c r="H70" s="632"/>
      <c r="I70" s="633"/>
      <c r="J70" s="634"/>
    </row>
    <row r="71" spans="3:10" ht="30" customHeight="1" x14ac:dyDescent="0.25">
      <c r="C71" s="642"/>
      <c r="D71" s="642"/>
      <c r="E71" s="642"/>
      <c r="F71" s="630">
        <v>1</v>
      </c>
      <c r="G71" s="631"/>
      <c r="H71" s="632"/>
      <c r="I71" s="633"/>
      <c r="J71" s="634"/>
    </row>
    <row r="72" spans="3:10" ht="30" customHeight="1" x14ac:dyDescent="0.25">
      <c r="C72" s="642"/>
      <c r="D72" s="642"/>
      <c r="E72" s="642"/>
      <c r="F72" s="630">
        <v>1</v>
      </c>
      <c r="G72" s="631"/>
      <c r="H72" s="632"/>
      <c r="I72" s="633"/>
      <c r="J72" s="634"/>
    </row>
    <row r="73" spans="3:10" ht="30" customHeight="1" x14ac:dyDescent="0.25">
      <c r="C73" s="642"/>
      <c r="D73" s="642"/>
      <c r="E73" s="642"/>
      <c r="F73" s="630">
        <v>1</v>
      </c>
      <c r="G73" s="631"/>
      <c r="H73" s="632"/>
      <c r="I73" s="633"/>
      <c r="J73" s="634"/>
    </row>
    <row r="74" spans="3:10" ht="30" customHeight="1" x14ac:dyDescent="0.25">
      <c r="C74" s="642"/>
      <c r="D74" s="642"/>
      <c r="E74" s="642"/>
      <c r="F74" s="630">
        <v>1</v>
      </c>
      <c r="G74" s="631"/>
      <c r="H74" s="632"/>
      <c r="I74" s="633"/>
      <c r="J74" s="634"/>
    </row>
    <row r="75" spans="3:10" ht="30" customHeight="1" x14ac:dyDescent="0.25">
      <c r="C75" s="642"/>
      <c r="D75" s="642"/>
      <c r="E75" s="642"/>
      <c r="F75" s="630">
        <v>1</v>
      </c>
      <c r="G75" s="631"/>
      <c r="H75" s="632"/>
      <c r="I75" s="633"/>
      <c r="J75" s="634"/>
    </row>
    <row r="76" spans="3:10" ht="30" customHeight="1" x14ac:dyDescent="0.25">
      <c r="C76" s="642"/>
      <c r="D76" s="642"/>
      <c r="E76" s="642"/>
      <c r="F76" s="630">
        <v>1</v>
      </c>
      <c r="G76" s="631"/>
      <c r="H76" s="632"/>
      <c r="I76" s="633"/>
      <c r="J76" s="634"/>
    </row>
    <row r="77" spans="3:10" ht="30" customHeight="1" x14ac:dyDescent="0.25">
      <c r="C77" s="642"/>
      <c r="D77" s="642"/>
      <c r="E77" s="642"/>
      <c r="F77" s="630">
        <v>1</v>
      </c>
      <c r="G77" s="631"/>
      <c r="H77" s="632"/>
      <c r="I77" s="633"/>
      <c r="J77" s="634"/>
    </row>
    <row r="78" spans="3:10" ht="30" customHeight="1" x14ac:dyDescent="0.25">
      <c r="C78" s="642"/>
      <c r="D78" s="642"/>
      <c r="E78" s="642"/>
      <c r="F78" s="630">
        <v>1</v>
      </c>
      <c r="G78" s="631"/>
      <c r="H78" s="632"/>
      <c r="I78" s="633"/>
      <c r="J78" s="634"/>
    </row>
    <row r="79" spans="3:10" ht="30" customHeight="1" x14ac:dyDescent="0.25">
      <c r="C79" s="642"/>
      <c r="D79" s="642"/>
      <c r="E79" s="642"/>
      <c r="F79" s="630">
        <v>1</v>
      </c>
      <c r="G79" s="631"/>
      <c r="H79" s="632"/>
      <c r="I79" s="633"/>
      <c r="J79" s="634"/>
    </row>
    <row r="80" spans="3:10" ht="30" customHeight="1" x14ac:dyDescent="0.25">
      <c r="C80" s="642"/>
      <c r="D80" s="642"/>
      <c r="E80" s="642"/>
      <c r="F80" s="630">
        <v>1</v>
      </c>
      <c r="G80" s="631"/>
      <c r="H80" s="632"/>
      <c r="I80" s="633"/>
      <c r="J80" s="634"/>
    </row>
    <row r="81" spans="3:10" ht="30" customHeight="1" x14ac:dyDescent="0.25">
      <c r="C81" s="642"/>
      <c r="D81" s="642"/>
      <c r="E81" s="642"/>
      <c r="F81" s="630">
        <v>1</v>
      </c>
      <c r="G81" s="631"/>
      <c r="H81" s="632"/>
      <c r="I81" s="633"/>
      <c r="J81" s="634"/>
    </row>
    <row r="82" spans="3:10" ht="30" customHeight="1" x14ac:dyDescent="0.25">
      <c r="C82" s="642"/>
      <c r="D82" s="642"/>
      <c r="E82" s="642"/>
      <c r="F82" s="630">
        <v>1</v>
      </c>
      <c r="G82" s="631"/>
      <c r="H82" s="632"/>
      <c r="I82" s="633"/>
      <c r="J82" s="634"/>
    </row>
    <row r="83" spans="3:10" ht="30" customHeight="1" x14ac:dyDescent="0.25">
      <c r="C83" s="642"/>
      <c r="D83" s="642"/>
      <c r="E83" s="642"/>
      <c r="F83" s="630">
        <v>1</v>
      </c>
      <c r="G83" s="631"/>
      <c r="H83" s="632"/>
      <c r="I83" s="633"/>
      <c r="J83" s="634"/>
    </row>
    <row r="84" spans="3:10" ht="30" customHeight="1" x14ac:dyDescent="0.25">
      <c r="C84" s="642"/>
      <c r="D84" s="642"/>
      <c r="E84" s="642"/>
      <c r="F84" s="630">
        <v>1</v>
      </c>
      <c r="G84" s="631"/>
      <c r="H84" s="632"/>
      <c r="I84" s="633"/>
      <c r="J84" s="634"/>
    </row>
    <row r="85" spans="3:10" ht="30" customHeight="1" x14ac:dyDescent="0.25">
      <c r="C85" s="642"/>
      <c r="D85" s="642"/>
      <c r="E85" s="642"/>
      <c r="F85" s="630">
        <v>1</v>
      </c>
      <c r="G85" s="631"/>
      <c r="H85" s="632"/>
      <c r="I85" s="633"/>
      <c r="J85" s="634"/>
    </row>
    <row r="86" spans="3:10" ht="30" customHeight="1" x14ac:dyDescent="0.25">
      <c r="C86" s="642"/>
      <c r="D86" s="642"/>
      <c r="E86" s="642"/>
      <c r="F86" s="630">
        <v>1</v>
      </c>
      <c r="G86" s="631"/>
      <c r="H86" s="632"/>
      <c r="I86" s="633"/>
      <c r="J86" s="634"/>
    </row>
    <row r="87" spans="3:10" ht="30" customHeight="1" x14ac:dyDescent="0.25">
      <c r="C87" s="642"/>
      <c r="D87" s="642"/>
      <c r="E87" s="642"/>
      <c r="F87" s="630">
        <v>1</v>
      </c>
      <c r="G87" s="631"/>
      <c r="H87" s="632"/>
      <c r="I87" s="633"/>
      <c r="J87" s="634"/>
    </row>
    <row r="88" spans="3:10" ht="30" customHeight="1" x14ac:dyDescent="0.25">
      <c r="C88" s="642"/>
      <c r="D88" s="642"/>
      <c r="E88" s="642"/>
      <c r="F88" s="630">
        <v>1</v>
      </c>
      <c r="G88" s="631"/>
      <c r="H88" s="632"/>
      <c r="I88" s="633"/>
      <c r="J88" s="634"/>
    </row>
    <row r="89" spans="3:10" ht="30" customHeight="1" x14ac:dyDescent="0.25">
      <c r="C89" s="642"/>
      <c r="D89" s="642"/>
      <c r="E89" s="642"/>
      <c r="F89" s="630">
        <v>1</v>
      </c>
      <c r="G89" s="631"/>
      <c r="H89" s="632"/>
      <c r="I89" s="633"/>
      <c r="J89" s="634"/>
    </row>
    <row r="90" spans="3:10" ht="30" customHeight="1" x14ac:dyDescent="0.25">
      <c r="C90" s="642"/>
      <c r="D90" s="642"/>
      <c r="E90" s="642"/>
      <c r="F90" s="630">
        <v>1</v>
      </c>
      <c r="G90" s="631"/>
      <c r="H90" s="632"/>
      <c r="I90" s="633"/>
      <c r="J90" s="634"/>
    </row>
    <row r="91" spans="3:10" ht="30" customHeight="1" x14ac:dyDescent="0.25">
      <c r="C91" s="642"/>
      <c r="D91" s="642"/>
      <c r="E91" s="642"/>
      <c r="F91" s="630">
        <v>1</v>
      </c>
      <c r="G91" s="631"/>
      <c r="H91" s="632"/>
      <c r="I91" s="633"/>
      <c r="J91" s="634"/>
    </row>
    <row r="92" spans="3:10" ht="30" customHeight="1" x14ac:dyDescent="0.25">
      <c r="C92" s="642"/>
      <c r="D92" s="642"/>
      <c r="E92" s="642"/>
      <c r="F92" s="630">
        <v>1</v>
      </c>
      <c r="G92" s="631"/>
      <c r="H92" s="632"/>
      <c r="I92" s="633"/>
      <c r="J92" s="634"/>
    </row>
    <row r="93" spans="3:10" ht="30" customHeight="1" x14ac:dyDescent="0.25">
      <c r="C93" s="642"/>
      <c r="D93" s="642"/>
      <c r="E93" s="642"/>
      <c r="F93" s="630">
        <v>1</v>
      </c>
      <c r="G93" s="631"/>
      <c r="H93" s="632"/>
      <c r="I93" s="633"/>
      <c r="J93" s="634"/>
    </row>
    <row r="94" spans="3:10" ht="30" customHeight="1" x14ac:dyDescent="0.25">
      <c r="C94" s="642"/>
      <c r="D94" s="642"/>
      <c r="E94" s="642"/>
      <c r="F94" s="630">
        <v>1</v>
      </c>
      <c r="G94" s="631"/>
      <c r="H94" s="632"/>
      <c r="I94" s="633"/>
      <c r="J94" s="634"/>
    </row>
    <row r="95" spans="3:10" ht="30" customHeight="1" x14ac:dyDescent="0.25">
      <c r="C95" s="642"/>
      <c r="D95" s="642"/>
      <c r="E95" s="642"/>
      <c r="F95" s="630">
        <v>1</v>
      </c>
      <c r="G95" s="631"/>
      <c r="H95" s="632"/>
      <c r="I95" s="633"/>
      <c r="J95" s="634"/>
    </row>
    <row r="96" spans="3:10" ht="30" customHeight="1" x14ac:dyDescent="0.25">
      <c r="C96" s="642"/>
      <c r="D96" s="642"/>
      <c r="E96" s="642"/>
      <c r="F96" s="630">
        <v>1</v>
      </c>
      <c r="G96" s="631"/>
      <c r="H96" s="632"/>
      <c r="I96" s="633"/>
      <c r="J96" s="634"/>
    </row>
    <row r="97" spans="3:10" ht="30" customHeight="1" x14ac:dyDescent="0.25">
      <c r="C97" s="642"/>
      <c r="D97" s="642"/>
      <c r="E97" s="642"/>
      <c r="F97" s="630">
        <v>1</v>
      </c>
      <c r="G97" s="631"/>
      <c r="H97" s="632"/>
      <c r="I97" s="633"/>
      <c r="J97" s="634"/>
    </row>
    <row r="98" spans="3:10" ht="30" customHeight="1" x14ac:dyDescent="0.25">
      <c r="C98" s="642"/>
      <c r="D98" s="642"/>
      <c r="E98" s="642"/>
      <c r="F98" s="630">
        <v>1</v>
      </c>
      <c r="G98" s="631"/>
      <c r="H98" s="632"/>
      <c r="I98" s="633"/>
      <c r="J98" s="634"/>
    </row>
    <row r="99" spans="3:10" ht="30" customHeight="1" x14ac:dyDescent="0.25">
      <c r="C99" s="642"/>
      <c r="D99" s="642"/>
      <c r="E99" s="642"/>
      <c r="F99" s="630">
        <v>1</v>
      </c>
      <c r="G99" s="631"/>
      <c r="H99" s="632"/>
      <c r="I99" s="633"/>
      <c r="J99" s="634"/>
    </row>
    <row r="100" spans="3:10" ht="30" customHeight="1" x14ac:dyDescent="0.25">
      <c r="C100" s="642"/>
      <c r="D100" s="642"/>
      <c r="E100" s="642"/>
      <c r="F100" s="630">
        <v>1</v>
      </c>
      <c r="G100" s="631"/>
      <c r="H100" s="632"/>
      <c r="I100" s="633"/>
      <c r="J100" s="634"/>
    </row>
    <row r="101" spans="3:10" ht="30" customHeight="1" x14ac:dyDescent="0.25">
      <c r="C101" s="642"/>
      <c r="D101" s="642"/>
      <c r="E101" s="642"/>
      <c r="F101" s="630">
        <v>1</v>
      </c>
      <c r="G101" s="631"/>
      <c r="H101" s="632"/>
      <c r="I101" s="633"/>
      <c r="J101" s="634"/>
    </row>
    <row r="102" spans="3:10" ht="30" customHeight="1" x14ac:dyDescent="0.25">
      <c r="C102" s="642"/>
      <c r="D102" s="642"/>
      <c r="E102" s="642"/>
      <c r="F102" s="630">
        <v>1</v>
      </c>
      <c r="G102" s="631"/>
      <c r="H102" s="632"/>
      <c r="I102" s="633"/>
      <c r="J102" s="634"/>
    </row>
    <row r="103" spans="3:10" ht="30" customHeight="1" x14ac:dyDescent="0.25">
      <c r="C103" s="642"/>
      <c r="D103" s="642"/>
      <c r="E103" s="642"/>
      <c r="F103" s="630">
        <v>1</v>
      </c>
      <c r="G103" s="631"/>
      <c r="H103" s="632"/>
      <c r="I103" s="633"/>
      <c r="J103" s="634"/>
    </row>
    <row r="104" spans="3:10" ht="30" customHeight="1" x14ac:dyDescent="0.25">
      <c r="C104" s="642"/>
      <c r="D104" s="642"/>
      <c r="E104" s="642"/>
      <c r="F104" s="630">
        <v>1</v>
      </c>
      <c r="G104" s="631"/>
      <c r="H104" s="632"/>
      <c r="I104" s="633"/>
      <c r="J104" s="634"/>
    </row>
    <row r="105" spans="3:10" ht="30" customHeight="1" x14ac:dyDescent="0.25">
      <c r="C105" s="642"/>
      <c r="D105" s="642"/>
      <c r="E105" s="642"/>
      <c r="F105" s="630">
        <v>1</v>
      </c>
      <c r="G105" s="631"/>
      <c r="H105" s="632"/>
      <c r="I105" s="633"/>
      <c r="J105" s="634"/>
    </row>
    <row r="106" spans="3:10" ht="30" customHeight="1" x14ac:dyDescent="0.25">
      <c r="C106" s="642"/>
      <c r="D106" s="642"/>
      <c r="E106" s="642"/>
      <c r="F106" s="630">
        <v>1</v>
      </c>
      <c r="G106" s="631"/>
      <c r="H106" s="632"/>
      <c r="I106" s="633"/>
      <c r="J106" s="634"/>
    </row>
    <row r="107" spans="3:10" ht="30" customHeight="1" x14ac:dyDescent="0.25">
      <c r="C107" s="642"/>
      <c r="D107" s="642"/>
      <c r="E107" s="642"/>
      <c r="F107" s="630">
        <v>1</v>
      </c>
      <c r="G107" s="631"/>
      <c r="H107" s="632"/>
      <c r="I107" s="633"/>
      <c r="J107" s="634"/>
    </row>
    <row r="108" spans="3:10" ht="30" customHeight="1" x14ac:dyDescent="0.25">
      <c r="C108" s="642"/>
      <c r="D108" s="642"/>
      <c r="E108" s="642"/>
      <c r="F108" s="630">
        <v>1</v>
      </c>
      <c r="G108" s="631"/>
      <c r="H108" s="632"/>
      <c r="I108" s="633"/>
      <c r="J108" s="634"/>
    </row>
    <row r="109" spans="3:10" ht="30" customHeight="1" x14ac:dyDescent="0.25">
      <c r="C109" s="642"/>
      <c r="D109" s="642"/>
      <c r="E109" s="642"/>
      <c r="F109" s="630">
        <v>1</v>
      </c>
      <c r="G109" s="631"/>
      <c r="H109" s="632"/>
      <c r="I109" s="633"/>
      <c r="J109" s="634"/>
    </row>
    <row r="110" spans="3:10" ht="30" customHeight="1" x14ac:dyDescent="0.25">
      <c r="C110" s="642"/>
      <c r="D110" s="642"/>
      <c r="E110" s="642"/>
      <c r="F110" s="630">
        <v>1</v>
      </c>
      <c r="G110" s="631"/>
      <c r="H110" s="632"/>
      <c r="I110" s="633"/>
      <c r="J110" s="634"/>
    </row>
    <row r="111" spans="3:10" ht="30" customHeight="1" x14ac:dyDescent="0.25">
      <c r="C111" s="642"/>
      <c r="D111" s="642"/>
      <c r="E111" s="642"/>
      <c r="F111" s="630">
        <v>1</v>
      </c>
      <c r="G111" s="631"/>
      <c r="H111" s="632"/>
      <c r="I111" s="633"/>
      <c r="J111" s="634"/>
    </row>
    <row r="112" spans="3:10" ht="30" customHeight="1" x14ac:dyDescent="0.25">
      <c r="C112" s="642"/>
      <c r="D112" s="642"/>
      <c r="E112" s="642"/>
      <c r="F112" s="630">
        <v>1</v>
      </c>
      <c r="G112" s="631"/>
      <c r="H112" s="632"/>
      <c r="I112" s="633"/>
      <c r="J112" s="634"/>
    </row>
    <row r="113" spans="3:10" ht="30" customHeight="1" x14ac:dyDescent="0.25">
      <c r="C113" s="642"/>
      <c r="D113" s="642"/>
      <c r="E113" s="642"/>
      <c r="F113" s="630">
        <v>1</v>
      </c>
      <c r="G113" s="631"/>
      <c r="H113" s="632"/>
      <c r="I113" s="633"/>
      <c r="J113" s="634"/>
    </row>
    <row r="114" spans="3:10" ht="30" customHeight="1" x14ac:dyDescent="0.25">
      <c r="C114" s="642"/>
      <c r="D114" s="642"/>
      <c r="E114" s="642"/>
      <c r="F114" s="630">
        <v>1</v>
      </c>
      <c r="G114" s="631"/>
      <c r="H114" s="632"/>
      <c r="I114" s="633"/>
      <c r="J114" s="634"/>
    </row>
    <row r="115" spans="3:10" ht="30" customHeight="1" x14ac:dyDescent="0.25">
      <c r="C115" s="642"/>
      <c r="D115" s="642"/>
      <c r="E115" s="642"/>
      <c r="F115" s="630">
        <v>1</v>
      </c>
      <c r="G115" s="631"/>
      <c r="H115" s="632"/>
      <c r="I115" s="633"/>
      <c r="J115" s="634"/>
    </row>
    <row r="116" spans="3:10" ht="30" customHeight="1" x14ac:dyDescent="0.25">
      <c r="C116" s="642"/>
      <c r="D116" s="642"/>
      <c r="E116" s="642"/>
      <c r="F116" s="630">
        <v>1</v>
      </c>
      <c r="G116" s="631"/>
      <c r="H116" s="632"/>
      <c r="I116" s="633"/>
      <c r="J116" s="634"/>
    </row>
    <row r="117" spans="3:10" ht="30" customHeight="1" x14ac:dyDescent="0.25">
      <c r="C117" s="642"/>
      <c r="D117" s="642"/>
      <c r="E117" s="642"/>
      <c r="F117" s="630">
        <v>1</v>
      </c>
      <c r="G117" s="631"/>
      <c r="H117" s="632"/>
      <c r="I117" s="633"/>
      <c r="J117" s="634"/>
    </row>
    <row r="118" spans="3:10" ht="30" customHeight="1" x14ac:dyDescent="0.25">
      <c r="C118" s="642"/>
      <c r="D118" s="642"/>
      <c r="E118" s="642"/>
      <c r="F118" s="630">
        <v>1</v>
      </c>
      <c r="G118" s="631"/>
      <c r="H118" s="632"/>
      <c r="I118" s="633"/>
      <c r="J118" s="634"/>
    </row>
    <row r="119" spans="3:10" ht="30" customHeight="1" x14ac:dyDescent="0.25">
      <c r="C119" s="642"/>
      <c r="D119" s="642"/>
      <c r="E119" s="642"/>
      <c r="F119" s="630">
        <v>1</v>
      </c>
      <c r="G119" s="631"/>
      <c r="H119" s="632"/>
      <c r="I119" s="633"/>
      <c r="J119" s="634"/>
    </row>
    <row r="120" spans="3:10" ht="30" customHeight="1" x14ac:dyDescent="0.25">
      <c r="C120" s="642"/>
      <c r="D120" s="642"/>
      <c r="E120" s="642"/>
      <c r="F120" s="630">
        <v>1</v>
      </c>
      <c r="G120" s="631"/>
      <c r="H120" s="632"/>
      <c r="I120" s="633"/>
      <c r="J120" s="634"/>
    </row>
    <row r="121" spans="3:10" ht="30" customHeight="1" x14ac:dyDescent="0.25">
      <c r="C121" s="642"/>
      <c r="D121" s="642"/>
      <c r="E121" s="642"/>
      <c r="F121" s="630">
        <v>1</v>
      </c>
      <c r="G121" s="631"/>
      <c r="H121" s="632"/>
      <c r="I121" s="633"/>
      <c r="J121" s="634"/>
    </row>
    <row r="122" spans="3:10" ht="30" customHeight="1" x14ac:dyDescent="0.25">
      <c r="C122" s="642"/>
      <c r="D122" s="642"/>
      <c r="E122" s="642"/>
      <c r="F122" s="630">
        <v>1</v>
      </c>
      <c r="G122" s="631"/>
      <c r="H122" s="632"/>
      <c r="I122" s="633"/>
      <c r="J122" s="634"/>
    </row>
    <row r="123" spans="3:10" ht="30" customHeight="1" x14ac:dyDescent="0.25">
      <c r="C123" s="642"/>
      <c r="D123" s="642"/>
      <c r="E123" s="642"/>
      <c r="F123" s="630">
        <v>1</v>
      </c>
      <c r="G123" s="631"/>
      <c r="H123" s="632"/>
      <c r="I123" s="633"/>
      <c r="J123" s="634"/>
    </row>
    <row r="124" spans="3:10" ht="30" customHeight="1" x14ac:dyDescent="0.25">
      <c r="C124" s="642"/>
      <c r="D124" s="642"/>
      <c r="E124" s="642"/>
      <c r="F124" s="630">
        <v>1</v>
      </c>
      <c r="G124" s="631"/>
      <c r="H124" s="632"/>
      <c r="I124" s="633"/>
      <c r="J124" s="634"/>
    </row>
    <row r="125" spans="3:10" ht="30" customHeight="1" x14ac:dyDescent="0.25">
      <c r="C125" s="642"/>
      <c r="D125" s="642"/>
      <c r="E125" s="642"/>
      <c r="F125" s="630">
        <v>1</v>
      </c>
      <c r="G125" s="631"/>
      <c r="H125" s="632"/>
      <c r="I125" s="633"/>
      <c r="J125" s="634"/>
    </row>
    <row r="126" spans="3:10" ht="30" customHeight="1" x14ac:dyDescent="0.25">
      <c r="C126" s="642"/>
      <c r="D126" s="642"/>
      <c r="E126" s="642"/>
      <c r="F126" s="630">
        <v>1</v>
      </c>
      <c r="G126" s="631"/>
      <c r="H126" s="632"/>
      <c r="I126" s="633"/>
      <c r="J126" s="634"/>
    </row>
    <row r="127" spans="3:10" ht="30" customHeight="1" x14ac:dyDescent="0.25">
      <c r="C127" s="642"/>
      <c r="D127" s="642"/>
      <c r="E127" s="642"/>
      <c r="F127" s="630">
        <v>1</v>
      </c>
      <c r="G127" s="631"/>
      <c r="H127" s="632"/>
      <c r="I127" s="633"/>
      <c r="J127" s="634"/>
    </row>
    <row r="128" spans="3:10" ht="30" customHeight="1" x14ac:dyDescent="0.25">
      <c r="C128" s="642"/>
      <c r="D128" s="642"/>
      <c r="E128" s="642"/>
      <c r="F128" s="630">
        <v>1</v>
      </c>
      <c r="G128" s="631"/>
      <c r="H128" s="632"/>
      <c r="I128" s="633"/>
      <c r="J128" s="634"/>
    </row>
    <row r="129" spans="3:10" ht="30" customHeight="1" x14ac:dyDescent="0.25">
      <c r="C129" s="642"/>
      <c r="D129" s="642"/>
      <c r="E129" s="642"/>
      <c r="F129" s="630">
        <v>1</v>
      </c>
      <c r="G129" s="631"/>
      <c r="H129" s="632"/>
      <c r="I129" s="633"/>
      <c r="J129" s="634"/>
    </row>
    <row r="130" spans="3:10" ht="30" customHeight="1" x14ac:dyDescent="0.25">
      <c r="C130" s="642"/>
      <c r="D130" s="642"/>
      <c r="E130" s="642"/>
      <c r="F130" s="630">
        <v>1</v>
      </c>
      <c r="G130" s="631"/>
      <c r="H130" s="632"/>
      <c r="I130" s="633"/>
      <c r="J130" s="634"/>
    </row>
    <row r="131" spans="3:10" ht="30" customHeight="1" x14ac:dyDescent="0.25">
      <c r="C131" s="642"/>
      <c r="D131" s="642"/>
      <c r="E131" s="642"/>
      <c r="F131" s="630">
        <v>1</v>
      </c>
      <c r="G131" s="631"/>
      <c r="H131" s="632"/>
      <c r="I131" s="633"/>
      <c r="J131" s="634"/>
    </row>
    <row r="132" spans="3:10" ht="30" customHeight="1" x14ac:dyDescent="0.25">
      <c r="C132" s="642"/>
      <c r="D132" s="642"/>
      <c r="E132" s="642"/>
      <c r="F132" s="630">
        <v>1</v>
      </c>
      <c r="G132" s="631"/>
      <c r="H132" s="632"/>
      <c r="I132" s="633"/>
      <c r="J132" s="634"/>
    </row>
    <row r="133" spans="3:10" ht="30" customHeight="1" x14ac:dyDescent="0.25">
      <c r="C133" s="642"/>
      <c r="D133" s="642"/>
      <c r="E133" s="642"/>
      <c r="F133" s="630">
        <v>1</v>
      </c>
      <c r="G133" s="631"/>
      <c r="H133" s="632"/>
      <c r="I133" s="633"/>
      <c r="J133" s="634"/>
    </row>
    <row r="134" spans="3:10" ht="30" customHeight="1" x14ac:dyDescent="0.25">
      <c r="C134" s="642"/>
      <c r="D134" s="642"/>
      <c r="E134" s="642"/>
      <c r="F134" s="630">
        <v>1</v>
      </c>
      <c r="G134" s="631"/>
      <c r="H134" s="632"/>
      <c r="I134" s="633"/>
      <c r="J134" s="634"/>
    </row>
    <row r="135" spans="3:10" ht="30" customHeight="1" x14ac:dyDescent="0.25">
      <c r="C135" s="642"/>
      <c r="D135" s="642"/>
      <c r="E135" s="642"/>
      <c r="F135" s="630">
        <v>1</v>
      </c>
      <c r="G135" s="631"/>
      <c r="H135" s="632"/>
      <c r="I135" s="633"/>
      <c r="J135" s="634"/>
    </row>
    <row r="136" spans="3:10" ht="30" customHeight="1" x14ac:dyDescent="0.25">
      <c r="C136" s="642"/>
      <c r="D136" s="642"/>
      <c r="E136" s="642"/>
      <c r="F136" s="630">
        <v>1</v>
      </c>
      <c r="G136" s="631"/>
      <c r="H136" s="632"/>
      <c r="I136" s="633"/>
      <c r="J136" s="634"/>
    </row>
    <row r="137" spans="3:10" ht="30" customHeight="1" x14ac:dyDescent="0.25">
      <c r="C137" s="642"/>
      <c r="D137" s="642"/>
      <c r="E137" s="642"/>
      <c r="F137" s="630">
        <v>1</v>
      </c>
      <c r="G137" s="631"/>
      <c r="H137" s="632"/>
      <c r="I137" s="633"/>
      <c r="J137" s="634"/>
    </row>
    <row r="138" spans="3:10" ht="30" customHeight="1" x14ac:dyDescent="0.25">
      <c r="C138" s="642"/>
      <c r="D138" s="642"/>
      <c r="E138" s="642"/>
      <c r="F138" s="630">
        <v>1</v>
      </c>
      <c r="G138" s="631"/>
      <c r="H138" s="632"/>
      <c r="I138" s="633"/>
      <c r="J138" s="634"/>
    </row>
    <row r="139" spans="3:10" ht="30" customHeight="1" x14ac:dyDescent="0.25">
      <c r="C139" s="642"/>
      <c r="D139" s="642"/>
      <c r="E139" s="642"/>
      <c r="F139" s="630">
        <v>1</v>
      </c>
      <c r="G139" s="631"/>
      <c r="H139" s="632"/>
      <c r="I139" s="633"/>
      <c r="J139" s="634"/>
    </row>
    <row r="140" spans="3:10" ht="30" customHeight="1" x14ac:dyDescent="0.25">
      <c r="C140" s="642"/>
      <c r="D140" s="642"/>
      <c r="E140" s="642"/>
      <c r="F140" s="630">
        <v>1</v>
      </c>
      <c r="G140" s="631"/>
      <c r="H140" s="632"/>
      <c r="I140" s="633"/>
      <c r="J140" s="634"/>
    </row>
    <row r="141" spans="3:10" ht="30" customHeight="1" x14ac:dyDescent="0.25">
      <c r="C141" s="642"/>
      <c r="D141" s="642"/>
      <c r="E141" s="642"/>
      <c r="F141" s="630">
        <v>1</v>
      </c>
      <c r="G141" s="631"/>
      <c r="H141" s="632"/>
      <c r="I141" s="633"/>
      <c r="J141" s="634"/>
    </row>
    <row r="142" spans="3:10" ht="30" customHeight="1" x14ac:dyDescent="0.25">
      <c r="C142" s="642"/>
      <c r="D142" s="642"/>
      <c r="E142" s="642"/>
      <c r="F142" s="630">
        <v>1</v>
      </c>
      <c r="G142" s="631"/>
      <c r="H142" s="632"/>
      <c r="I142" s="633"/>
      <c r="J142" s="634"/>
    </row>
    <row r="143" spans="3:10" ht="30" customHeight="1" x14ac:dyDescent="0.25">
      <c r="C143" s="642"/>
      <c r="D143" s="642"/>
      <c r="E143" s="642"/>
      <c r="F143" s="630">
        <v>1</v>
      </c>
      <c r="G143" s="631"/>
      <c r="H143" s="632"/>
      <c r="I143" s="633"/>
      <c r="J143" s="634"/>
    </row>
    <row r="144" spans="3:10" ht="30" customHeight="1" x14ac:dyDescent="0.25">
      <c r="C144" s="642"/>
      <c r="D144" s="642"/>
      <c r="E144" s="642"/>
      <c r="F144" s="630">
        <v>1</v>
      </c>
      <c r="G144" s="631"/>
      <c r="H144" s="632"/>
      <c r="I144" s="633"/>
      <c r="J144" s="634"/>
    </row>
    <row r="145" spans="3:10" ht="30" customHeight="1" x14ac:dyDescent="0.25">
      <c r="C145" s="642"/>
      <c r="D145" s="642"/>
      <c r="E145" s="642"/>
      <c r="F145" s="630">
        <v>1</v>
      </c>
      <c r="G145" s="631"/>
      <c r="H145" s="632"/>
      <c r="I145" s="633"/>
      <c r="J145" s="634"/>
    </row>
    <row r="146" spans="3:10" ht="30" customHeight="1" x14ac:dyDescent="0.25">
      <c r="C146" s="642"/>
      <c r="D146" s="642"/>
      <c r="E146" s="642"/>
      <c r="F146" s="630">
        <v>1</v>
      </c>
      <c r="G146" s="631"/>
      <c r="H146" s="632"/>
      <c r="I146" s="633"/>
      <c r="J146" s="634"/>
    </row>
    <row r="147" spans="3:10" ht="30" customHeight="1" x14ac:dyDescent="0.25">
      <c r="C147" s="642"/>
      <c r="D147" s="642"/>
      <c r="E147" s="642"/>
      <c r="F147" s="630">
        <v>1</v>
      </c>
      <c r="G147" s="631"/>
      <c r="H147" s="632"/>
      <c r="I147" s="633"/>
      <c r="J147" s="634"/>
    </row>
    <row r="148" spans="3:10" ht="30" customHeight="1" x14ac:dyDescent="0.25">
      <c r="C148" s="642"/>
      <c r="D148" s="642"/>
      <c r="E148" s="642"/>
      <c r="F148" s="630">
        <v>1</v>
      </c>
      <c r="G148" s="631"/>
      <c r="H148" s="632"/>
      <c r="I148" s="633"/>
      <c r="J148" s="634"/>
    </row>
    <row r="149" spans="3:10" ht="30" customHeight="1" x14ac:dyDescent="0.25">
      <c r="C149" s="642"/>
      <c r="D149" s="642"/>
      <c r="E149" s="642"/>
      <c r="F149" s="630">
        <v>1</v>
      </c>
      <c r="G149" s="631"/>
      <c r="H149" s="632"/>
      <c r="I149" s="633"/>
      <c r="J149" s="634"/>
    </row>
    <row r="150" spans="3:10" ht="30" customHeight="1" x14ac:dyDescent="0.25">
      <c r="C150" s="642"/>
      <c r="D150" s="642"/>
      <c r="E150" s="642"/>
      <c r="F150" s="630">
        <v>1</v>
      </c>
      <c r="G150" s="631"/>
      <c r="H150" s="632"/>
      <c r="I150" s="633"/>
      <c r="J150" s="634"/>
    </row>
    <row r="151" spans="3:10" ht="30" customHeight="1" x14ac:dyDescent="0.25">
      <c r="C151" s="642"/>
      <c r="D151" s="642"/>
      <c r="E151" s="642"/>
      <c r="F151" s="630">
        <v>1</v>
      </c>
      <c r="G151" s="631"/>
      <c r="H151" s="632"/>
      <c r="I151" s="633"/>
      <c r="J151" s="634"/>
    </row>
    <row r="152" spans="3:10" ht="30" customHeight="1" x14ac:dyDescent="0.25">
      <c r="C152" s="642"/>
      <c r="D152" s="642"/>
      <c r="E152" s="642"/>
      <c r="F152" s="630">
        <v>1</v>
      </c>
      <c r="G152" s="631"/>
      <c r="H152" s="632"/>
      <c r="I152" s="633"/>
      <c r="J152" s="634"/>
    </row>
    <row r="153" spans="3:10" ht="30" customHeight="1" x14ac:dyDescent="0.25">
      <c r="C153" s="642"/>
      <c r="D153" s="642"/>
      <c r="E153" s="642"/>
      <c r="F153" s="630">
        <v>1</v>
      </c>
      <c r="G153" s="631"/>
      <c r="H153" s="632"/>
      <c r="I153" s="633"/>
      <c r="J153" s="634"/>
    </row>
    <row r="154" spans="3:10" ht="30" customHeight="1" x14ac:dyDescent="0.25">
      <c r="C154" s="642"/>
      <c r="D154" s="642"/>
      <c r="E154" s="642"/>
      <c r="F154" s="630">
        <v>1</v>
      </c>
      <c r="G154" s="631"/>
      <c r="H154" s="632"/>
      <c r="I154" s="633"/>
      <c r="J154" s="634"/>
    </row>
    <row r="155" spans="3:10" ht="30" customHeight="1" x14ac:dyDescent="0.25">
      <c r="C155" s="642"/>
      <c r="D155" s="642"/>
      <c r="E155" s="642"/>
      <c r="F155" s="630">
        <v>1</v>
      </c>
      <c r="G155" s="631"/>
      <c r="H155" s="632"/>
      <c r="I155" s="633"/>
      <c r="J155" s="634"/>
    </row>
    <row r="156" spans="3:10" ht="30" customHeight="1" x14ac:dyDescent="0.25">
      <c r="C156" s="642"/>
      <c r="D156" s="642"/>
      <c r="E156" s="642"/>
      <c r="F156" s="630">
        <v>1</v>
      </c>
      <c r="G156" s="631"/>
      <c r="H156" s="632"/>
      <c r="I156" s="633"/>
      <c r="J156" s="634"/>
    </row>
    <row r="157" spans="3:10" ht="30" customHeight="1" x14ac:dyDescent="0.25">
      <c r="C157" s="642"/>
      <c r="D157" s="642"/>
      <c r="E157" s="642"/>
      <c r="F157" s="630">
        <v>1</v>
      </c>
      <c r="G157" s="631"/>
      <c r="H157" s="632"/>
      <c r="I157" s="633"/>
      <c r="J157" s="634"/>
    </row>
    <row r="158" spans="3:10" ht="30" customHeight="1" x14ac:dyDescent="0.25">
      <c r="C158" s="642"/>
      <c r="D158" s="642"/>
      <c r="E158" s="642"/>
      <c r="F158" s="630">
        <v>1</v>
      </c>
      <c r="G158" s="631"/>
      <c r="H158" s="632"/>
      <c r="I158" s="633"/>
      <c r="J158" s="634"/>
    </row>
    <row r="159" spans="3:10" ht="30" customHeight="1" x14ac:dyDescent="0.25">
      <c r="C159" s="642"/>
      <c r="D159" s="642"/>
      <c r="E159" s="642"/>
      <c r="F159" s="630">
        <v>1</v>
      </c>
      <c r="G159" s="631"/>
      <c r="H159" s="632"/>
      <c r="I159" s="633"/>
      <c r="J159" s="634"/>
    </row>
    <row r="160" spans="3:10" ht="30" customHeight="1" x14ac:dyDescent="0.25">
      <c r="C160" s="642"/>
      <c r="D160" s="642"/>
      <c r="E160" s="642"/>
      <c r="F160" s="630">
        <v>1</v>
      </c>
      <c r="G160" s="631"/>
      <c r="H160" s="632"/>
      <c r="I160" s="633"/>
      <c r="J160" s="634"/>
    </row>
    <row r="161" spans="3:10" ht="30" customHeight="1" x14ac:dyDescent="0.25">
      <c r="C161" s="642"/>
      <c r="D161" s="642"/>
      <c r="E161" s="642"/>
      <c r="F161" s="630">
        <v>1</v>
      </c>
      <c r="G161" s="631"/>
      <c r="H161" s="632"/>
      <c r="I161" s="633"/>
      <c r="J161" s="634"/>
    </row>
    <row r="162" spans="3:10" ht="30" customHeight="1" x14ac:dyDescent="0.25">
      <c r="C162" s="642"/>
      <c r="D162" s="642"/>
      <c r="E162" s="642"/>
      <c r="F162" s="630">
        <v>1</v>
      </c>
      <c r="G162" s="631"/>
      <c r="H162" s="632"/>
      <c r="I162" s="633"/>
      <c r="J162" s="634"/>
    </row>
    <row r="163" spans="3:10" ht="30" customHeight="1" x14ac:dyDescent="0.25">
      <c r="C163" s="642"/>
      <c r="D163" s="642"/>
      <c r="E163" s="642"/>
      <c r="F163" s="630">
        <v>1</v>
      </c>
      <c r="G163" s="631"/>
      <c r="H163" s="632"/>
      <c r="I163" s="633"/>
      <c r="J163" s="634"/>
    </row>
    <row r="164" spans="3:10" ht="30" customHeight="1" x14ac:dyDescent="0.25">
      <c r="C164" s="642"/>
      <c r="D164" s="642"/>
      <c r="E164" s="642"/>
      <c r="F164" s="630">
        <v>1</v>
      </c>
      <c r="G164" s="631"/>
      <c r="H164" s="632"/>
      <c r="I164" s="633"/>
      <c r="J164" s="634"/>
    </row>
    <row r="165" spans="3:10" ht="30" customHeight="1" x14ac:dyDescent="0.25">
      <c r="C165" s="642"/>
      <c r="D165" s="642"/>
      <c r="E165" s="642"/>
      <c r="F165" s="630">
        <v>1</v>
      </c>
      <c r="G165" s="631"/>
      <c r="H165" s="632"/>
      <c r="I165" s="633"/>
      <c r="J165" s="634"/>
    </row>
    <row r="166" spans="3:10" ht="30" customHeight="1" x14ac:dyDescent="0.25">
      <c r="C166" s="642"/>
      <c r="D166" s="642"/>
      <c r="E166" s="642"/>
      <c r="F166" s="630">
        <v>1</v>
      </c>
      <c r="G166" s="631"/>
      <c r="H166" s="632"/>
      <c r="I166" s="633"/>
      <c r="J166" s="634"/>
    </row>
    <row r="167" spans="3:10" ht="30" customHeight="1" x14ac:dyDescent="0.25">
      <c r="C167" s="642"/>
      <c r="D167" s="642"/>
      <c r="E167" s="642"/>
      <c r="F167" s="630">
        <v>1</v>
      </c>
      <c r="G167" s="631"/>
      <c r="H167" s="632"/>
      <c r="I167" s="633"/>
      <c r="J167" s="634"/>
    </row>
    <row r="168" spans="3:10" ht="30" customHeight="1" x14ac:dyDescent="0.25">
      <c r="C168" s="642"/>
      <c r="D168" s="642"/>
      <c r="E168" s="642"/>
      <c r="F168" s="630">
        <v>1</v>
      </c>
      <c r="G168" s="631"/>
      <c r="H168" s="632"/>
      <c r="I168" s="633"/>
      <c r="J168" s="634"/>
    </row>
    <row r="169" spans="3:10" ht="30" customHeight="1" x14ac:dyDescent="0.25">
      <c r="C169" s="642"/>
      <c r="D169" s="642"/>
      <c r="E169" s="642"/>
      <c r="F169" s="630">
        <v>1</v>
      </c>
      <c r="G169" s="631"/>
      <c r="H169" s="632"/>
      <c r="I169" s="633"/>
      <c r="J169" s="634"/>
    </row>
    <row r="170" spans="3:10" ht="30" customHeight="1" x14ac:dyDescent="0.25">
      <c r="C170" s="642"/>
      <c r="D170" s="642"/>
      <c r="E170" s="642"/>
      <c r="F170" s="630">
        <v>1</v>
      </c>
      <c r="G170" s="631"/>
      <c r="H170" s="632"/>
      <c r="I170" s="633"/>
      <c r="J170" s="634"/>
    </row>
    <row r="171" spans="3:10" ht="30" customHeight="1" x14ac:dyDescent="0.25">
      <c r="C171" s="642"/>
      <c r="D171" s="642"/>
      <c r="E171" s="642"/>
      <c r="F171" s="630">
        <v>1</v>
      </c>
      <c r="G171" s="631"/>
      <c r="H171" s="632"/>
      <c r="I171" s="633"/>
      <c r="J171" s="634"/>
    </row>
    <row r="172" spans="3:10" ht="30" customHeight="1" x14ac:dyDescent="0.25">
      <c r="C172" s="642"/>
      <c r="D172" s="642"/>
      <c r="E172" s="642"/>
      <c r="F172" s="630">
        <v>1</v>
      </c>
      <c r="G172" s="631"/>
      <c r="H172" s="632"/>
      <c r="I172" s="633"/>
      <c r="J172" s="634"/>
    </row>
    <row r="173" spans="3:10" ht="30" customHeight="1" x14ac:dyDescent="0.25">
      <c r="C173" s="642"/>
      <c r="D173" s="642"/>
      <c r="E173" s="642"/>
      <c r="F173" s="630">
        <v>1</v>
      </c>
      <c r="G173" s="631"/>
      <c r="H173" s="632"/>
      <c r="I173" s="633"/>
      <c r="J173" s="634"/>
    </row>
    <row r="174" spans="3:10" ht="30" customHeight="1" x14ac:dyDescent="0.25">
      <c r="C174" s="642"/>
      <c r="D174" s="642"/>
      <c r="E174" s="642"/>
      <c r="F174" s="630">
        <v>1</v>
      </c>
      <c r="G174" s="631"/>
      <c r="H174" s="632"/>
      <c r="I174" s="633"/>
      <c r="J174" s="634"/>
    </row>
    <row r="175" spans="3:10" ht="30" customHeight="1" x14ac:dyDescent="0.25">
      <c r="C175" s="642"/>
      <c r="D175" s="642"/>
      <c r="E175" s="642"/>
      <c r="F175" s="630">
        <v>1</v>
      </c>
      <c r="G175" s="631"/>
      <c r="H175" s="632"/>
      <c r="I175" s="633"/>
      <c r="J175" s="634"/>
    </row>
    <row r="176" spans="3:10" ht="30" customHeight="1" x14ac:dyDescent="0.25">
      <c r="C176" s="642"/>
      <c r="D176" s="642"/>
      <c r="E176" s="642"/>
      <c r="F176" s="630">
        <v>1</v>
      </c>
      <c r="G176" s="631"/>
      <c r="H176" s="632"/>
      <c r="I176" s="633"/>
      <c r="J176" s="634"/>
    </row>
    <row r="177" spans="3:10" ht="30" customHeight="1" x14ac:dyDescent="0.25">
      <c r="C177" s="642"/>
      <c r="D177" s="642"/>
      <c r="E177" s="642"/>
      <c r="F177" s="630">
        <v>1</v>
      </c>
      <c r="G177" s="631"/>
      <c r="H177" s="632"/>
      <c r="I177" s="633"/>
      <c r="J177" s="634"/>
    </row>
    <row r="178" spans="3:10" ht="30" customHeight="1" x14ac:dyDescent="0.25">
      <c r="C178" s="642"/>
      <c r="D178" s="642"/>
      <c r="E178" s="642"/>
      <c r="F178" s="630">
        <v>1</v>
      </c>
      <c r="G178" s="631"/>
      <c r="H178" s="632"/>
      <c r="I178" s="633"/>
      <c r="J178" s="634"/>
    </row>
    <row r="179" spans="3:10" ht="30" customHeight="1" x14ac:dyDescent="0.25">
      <c r="C179" s="642"/>
      <c r="D179" s="642"/>
      <c r="E179" s="642"/>
      <c r="F179" s="630">
        <v>1</v>
      </c>
      <c r="G179" s="631"/>
      <c r="H179" s="632"/>
      <c r="I179" s="633"/>
      <c r="J179" s="634"/>
    </row>
    <row r="180" spans="3:10" ht="30" customHeight="1" x14ac:dyDescent="0.25">
      <c r="C180" s="642"/>
      <c r="D180" s="642"/>
      <c r="E180" s="642"/>
      <c r="F180" s="630">
        <v>1</v>
      </c>
      <c r="G180" s="631"/>
      <c r="H180" s="632"/>
      <c r="I180" s="633"/>
      <c r="J180" s="634"/>
    </row>
    <row r="181" spans="3:10" ht="30" customHeight="1" x14ac:dyDescent="0.25">
      <c r="C181" s="642"/>
      <c r="D181" s="642"/>
      <c r="E181" s="642"/>
      <c r="F181" s="630">
        <v>1</v>
      </c>
      <c r="G181" s="631"/>
      <c r="H181" s="632"/>
      <c r="I181" s="633"/>
      <c r="J181" s="634"/>
    </row>
    <row r="182" spans="3:10" ht="30" customHeight="1" x14ac:dyDescent="0.25">
      <c r="C182" s="642"/>
      <c r="D182" s="642"/>
      <c r="E182" s="642"/>
      <c r="F182" s="630">
        <v>1</v>
      </c>
      <c r="G182" s="631"/>
      <c r="H182" s="632"/>
      <c r="I182" s="633"/>
      <c r="J182" s="634"/>
    </row>
    <row r="183" spans="3:10" ht="30" customHeight="1" x14ac:dyDescent="0.25">
      <c r="C183" s="642"/>
      <c r="D183" s="642"/>
      <c r="E183" s="642"/>
      <c r="F183" s="630">
        <v>1</v>
      </c>
      <c r="G183" s="631"/>
      <c r="H183" s="632"/>
      <c r="I183" s="633"/>
      <c r="J183" s="634"/>
    </row>
    <row r="184" spans="3:10" ht="30" customHeight="1" x14ac:dyDescent="0.25">
      <c r="C184" s="642"/>
      <c r="D184" s="642"/>
      <c r="E184" s="642"/>
      <c r="F184" s="630">
        <v>1</v>
      </c>
      <c r="G184" s="631"/>
      <c r="H184" s="632"/>
      <c r="I184" s="633"/>
      <c r="J184" s="634"/>
    </row>
    <row r="185" spans="3:10" ht="30" customHeight="1" x14ac:dyDescent="0.25">
      <c r="C185" s="642"/>
      <c r="D185" s="642"/>
      <c r="E185" s="642"/>
      <c r="F185" s="630">
        <v>1</v>
      </c>
      <c r="G185" s="631"/>
      <c r="H185" s="632"/>
      <c r="I185" s="633"/>
      <c r="J185" s="634"/>
    </row>
    <row r="186" spans="3:10" ht="30" customHeight="1" x14ac:dyDescent="0.25">
      <c r="C186" s="642"/>
      <c r="D186" s="642"/>
      <c r="E186" s="642"/>
      <c r="F186" s="630">
        <v>1</v>
      </c>
      <c r="G186" s="631"/>
      <c r="H186" s="632"/>
      <c r="I186" s="633"/>
      <c r="J186" s="634"/>
    </row>
    <row r="187" spans="3:10" ht="30" customHeight="1" x14ac:dyDescent="0.25">
      <c r="C187" s="642"/>
      <c r="D187" s="642"/>
      <c r="E187" s="642"/>
      <c r="F187" s="630">
        <v>1</v>
      </c>
      <c r="G187" s="631"/>
      <c r="H187" s="632"/>
      <c r="I187" s="633"/>
      <c r="J187" s="634"/>
    </row>
    <row r="188" spans="3:10" ht="30" customHeight="1" x14ac:dyDescent="0.25">
      <c r="C188" s="642"/>
      <c r="D188" s="642"/>
      <c r="E188" s="642"/>
      <c r="F188" s="630">
        <v>1</v>
      </c>
      <c r="G188" s="631"/>
      <c r="H188" s="632"/>
      <c r="I188" s="633"/>
      <c r="J188" s="634"/>
    </row>
    <row r="189" spans="3:10" ht="30" customHeight="1" x14ac:dyDescent="0.25">
      <c r="C189" s="642"/>
      <c r="D189" s="642"/>
      <c r="E189" s="642"/>
      <c r="F189" s="630">
        <v>1</v>
      </c>
      <c r="G189" s="631"/>
      <c r="H189" s="632"/>
      <c r="I189" s="633"/>
      <c r="J189" s="634"/>
    </row>
    <row r="190" spans="3:10" ht="30" customHeight="1" x14ac:dyDescent="0.25">
      <c r="C190" s="642"/>
      <c r="D190" s="642"/>
      <c r="E190" s="642"/>
      <c r="F190" s="630">
        <v>1</v>
      </c>
      <c r="G190" s="631"/>
      <c r="H190" s="632"/>
      <c r="I190" s="633"/>
      <c r="J190" s="634"/>
    </row>
    <row r="191" spans="3:10" ht="30" customHeight="1" x14ac:dyDescent="0.25">
      <c r="C191" s="642"/>
      <c r="D191" s="642"/>
      <c r="E191" s="642"/>
      <c r="F191" s="630">
        <v>1</v>
      </c>
      <c r="G191" s="631"/>
      <c r="H191" s="632"/>
      <c r="I191" s="633"/>
      <c r="J191" s="634"/>
    </row>
    <row r="192" spans="3:10" ht="30" customHeight="1" x14ac:dyDescent="0.25">
      <c r="C192" s="642"/>
      <c r="D192" s="642"/>
      <c r="E192" s="642"/>
      <c r="F192" s="630">
        <v>1</v>
      </c>
      <c r="G192" s="631"/>
      <c r="H192" s="632"/>
      <c r="I192" s="633"/>
      <c r="J192" s="634"/>
    </row>
    <row r="193" spans="3:10" ht="30" customHeight="1" x14ac:dyDescent="0.25">
      <c r="C193" s="642"/>
      <c r="D193" s="642"/>
      <c r="E193" s="642"/>
      <c r="F193" s="630">
        <v>1</v>
      </c>
      <c r="G193" s="631"/>
      <c r="H193" s="632"/>
      <c r="I193" s="633"/>
      <c r="J193" s="634"/>
    </row>
    <row r="194" spans="3:10" ht="30" customHeight="1" x14ac:dyDescent="0.25">
      <c r="C194" s="642"/>
      <c r="D194" s="642"/>
      <c r="E194" s="642"/>
      <c r="F194" s="630">
        <v>1</v>
      </c>
      <c r="G194" s="631"/>
      <c r="H194" s="632"/>
      <c r="I194" s="633"/>
      <c r="J194" s="634"/>
    </row>
    <row r="195" spans="3:10" ht="30" customHeight="1" x14ac:dyDescent="0.25">
      <c r="C195" s="642"/>
      <c r="D195" s="642"/>
      <c r="E195" s="642"/>
      <c r="F195" s="630">
        <v>1</v>
      </c>
      <c r="G195" s="631"/>
      <c r="H195" s="632"/>
      <c r="I195" s="633"/>
      <c r="J195" s="634"/>
    </row>
    <row r="196" spans="3:10" ht="30" customHeight="1" x14ac:dyDescent="0.25">
      <c r="C196" s="642"/>
      <c r="D196" s="642"/>
      <c r="E196" s="642"/>
      <c r="F196" s="630">
        <v>1</v>
      </c>
      <c r="G196" s="631"/>
      <c r="H196" s="632"/>
      <c r="I196" s="633"/>
      <c r="J196" s="634"/>
    </row>
    <row r="197" spans="3:10" ht="30" customHeight="1" x14ac:dyDescent="0.25">
      <c r="C197" s="642"/>
      <c r="D197" s="642"/>
      <c r="E197" s="642"/>
      <c r="F197" s="630">
        <v>1</v>
      </c>
      <c r="G197" s="631"/>
      <c r="H197" s="632"/>
      <c r="I197" s="633"/>
      <c r="J197" s="634"/>
    </row>
    <row r="198" spans="3:10" ht="30" customHeight="1" x14ac:dyDescent="0.25">
      <c r="C198" s="642"/>
      <c r="D198" s="642"/>
      <c r="E198" s="642"/>
      <c r="F198" s="630">
        <v>1</v>
      </c>
      <c r="G198" s="631"/>
      <c r="H198" s="632"/>
      <c r="I198" s="633"/>
      <c r="J198" s="634"/>
    </row>
    <row r="199" spans="3:10" ht="30" customHeight="1" x14ac:dyDescent="0.25">
      <c r="C199" s="642"/>
      <c r="D199" s="642"/>
      <c r="E199" s="642"/>
      <c r="F199" s="630">
        <v>1</v>
      </c>
      <c r="G199" s="631"/>
      <c r="H199" s="632"/>
      <c r="I199" s="633"/>
      <c r="J199" s="634"/>
    </row>
    <row r="200" spans="3:10" ht="30" customHeight="1" x14ac:dyDescent="0.25">
      <c r="C200" s="642"/>
      <c r="D200" s="642"/>
      <c r="E200" s="642"/>
      <c r="F200" s="630">
        <v>1</v>
      </c>
      <c r="G200" s="631"/>
      <c r="H200" s="632"/>
      <c r="I200" s="633"/>
      <c r="J200" s="634"/>
    </row>
    <row r="201" spans="3:10" ht="30" customHeight="1" x14ac:dyDescent="0.25">
      <c r="C201" s="642"/>
      <c r="D201" s="642"/>
      <c r="E201" s="642"/>
      <c r="F201" s="630">
        <v>1</v>
      </c>
      <c r="G201" s="631"/>
      <c r="H201" s="632"/>
      <c r="I201" s="633"/>
      <c r="J201" s="634"/>
    </row>
    <row r="202" spans="3:10" ht="30" customHeight="1" x14ac:dyDescent="0.25">
      <c r="C202" s="642"/>
      <c r="D202" s="642"/>
      <c r="E202" s="642"/>
      <c r="F202" s="630">
        <v>1</v>
      </c>
      <c r="G202" s="631"/>
      <c r="H202" s="632"/>
      <c r="I202" s="633"/>
      <c r="J202" s="634"/>
    </row>
    <row r="203" spans="3:10" ht="30" customHeight="1" x14ac:dyDescent="0.25">
      <c r="C203" s="642"/>
      <c r="D203" s="642"/>
      <c r="E203" s="642"/>
      <c r="F203" s="630">
        <v>1</v>
      </c>
      <c r="G203" s="631"/>
      <c r="H203" s="632"/>
      <c r="I203" s="633"/>
      <c r="J203" s="634"/>
    </row>
    <row r="204" spans="3:10" ht="30" customHeight="1" x14ac:dyDescent="0.25">
      <c r="C204" s="642"/>
      <c r="D204" s="642"/>
      <c r="E204" s="642"/>
      <c r="F204" s="630">
        <v>1</v>
      </c>
      <c r="G204" s="631"/>
      <c r="H204" s="632"/>
      <c r="I204" s="633"/>
      <c r="J204" s="634"/>
    </row>
    <row r="205" spans="3:10" ht="30" customHeight="1" x14ac:dyDescent="0.25">
      <c r="C205" s="642"/>
      <c r="D205" s="642"/>
      <c r="E205" s="642"/>
      <c r="F205" s="630">
        <v>1</v>
      </c>
      <c r="G205" s="631"/>
      <c r="H205" s="632"/>
      <c r="I205" s="633"/>
      <c r="J205" s="634"/>
    </row>
    <row r="206" spans="3:10" ht="30" customHeight="1" x14ac:dyDescent="0.25">
      <c r="C206" s="642"/>
      <c r="D206" s="642"/>
      <c r="E206" s="642"/>
      <c r="F206" s="630">
        <v>1</v>
      </c>
      <c r="G206" s="631"/>
      <c r="H206" s="632"/>
      <c r="I206" s="633"/>
      <c r="J206" s="634"/>
    </row>
    <row r="207" spans="3:10" ht="30" customHeight="1" x14ac:dyDescent="0.25">
      <c r="C207" s="642"/>
      <c r="D207" s="642"/>
      <c r="E207" s="642"/>
      <c r="F207" s="630">
        <v>1</v>
      </c>
      <c r="G207" s="631"/>
      <c r="H207" s="632"/>
      <c r="I207" s="633"/>
      <c r="J207" s="634"/>
    </row>
    <row r="208" spans="3:10" ht="30" customHeight="1" x14ac:dyDescent="0.25">
      <c r="C208" s="642"/>
      <c r="D208" s="642"/>
      <c r="E208" s="642"/>
      <c r="F208" s="630">
        <v>1</v>
      </c>
      <c r="G208" s="631"/>
      <c r="H208" s="632"/>
      <c r="I208" s="633"/>
      <c r="J208" s="634"/>
    </row>
    <row r="209" spans="3:10" ht="30" customHeight="1" x14ac:dyDescent="0.25">
      <c r="C209" s="642"/>
      <c r="D209" s="642"/>
      <c r="E209" s="642"/>
      <c r="F209" s="630">
        <v>1</v>
      </c>
      <c r="G209" s="631"/>
      <c r="H209" s="632"/>
      <c r="I209" s="633"/>
      <c r="J209" s="634"/>
    </row>
    <row r="210" spans="3:10" ht="30" customHeight="1" x14ac:dyDescent="0.25">
      <c r="C210" s="642"/>
      <c r="D210" s="642"/>
      <c r="E210" s="642"/>
      <c r="F210" s="630">
        <v>1</v>
      </c>
      <c r="G210" s="631"/>
      <c r="H210" s="632"/>
      <c r="I210" s="633"/>
      <c r="J210" s="634"/>
    </row>
    <row r="211" spans="3:10" ht="30" customHeight="1" x14ac:dyDescent="0.25">
      <c r="C211" s="642"/>
      <c r="D211" s="642"/>
      <c r="E211" s="642"/>
      <c r="F211" s="630">
        <v>1</v>
      </c>
      <c r="G211" s="631"/>
      <c r="H211" s="632"/>
      <c r="I211" s="633"/>
      <c r="J211" s="634"/>
    </row>
    <row r="212" spans="3:10" ht="30" customHeight="1" x14ac:dyDescent="0.25">
      <c r="C212" s="642"/>
      <c r="D212" s="642"/>
      <c r="E212" s="642"/>
      <c r="F212" s="630">
        <v>1</v>
      </c>
      <c r="G212" s="631"/>
      <c r="H212" s="632"/>
      <c r="I212" s="633"/>
      <c r="J212" s="634"/>
    </row>
    <row r="213" spans="3:10" ht="30" customHeight="1" x14ac:dyDescent="0.25">
      <c r="C213" s="642"/>
      <c r="D213" s="642"/>
      <c r="E213" s="642"/>
      <c r="F213" s="630">
        <v>1</v>
      </c>
      <c r="G213" s="631"/>
      <c r="H213" s="632"/>
      <c r="I213" s="633"/>
      <c r="J213" s="634"/>
    </row>
    <row r="214" spans="3:10" ht="30" customHeight="1" x14ac:dyDescent="0.25">
      <c r="C214" s="642"/>
      <c r="D214" s="642"/>
      <c r="E214" s="642"/>
      <c r="F214" s="630">
        <v>1</v>
      </c>
      <c r="G214" s="631"/>
      <c r="H214" s="632"/>
      <c r="I214" s="633"/>
      <c r="J214" s="634"/>
    </row>
    <row r="215" spans="3:10" ht="30" customHeight="1" x14ac:dyDescent="0.25">
      <c r="C215" s="642"/>
      <c r="D215" s="642"/>
      <c r="E215" s="642"/>
      <c r="F215" s="630">
        <v>1</v>
      </c>
      <c r="G215" s="631"/>
      <c r="H215" s="632"/>
      <c r="I215" s="633"/>
      <c r="J215" s="634"/>
    </row>
    <row r="216" spans="3:10" ht="30" customHeight="1" x14ac:dyDescent="0.25">
      <c r="C216" s="642"/>
      <c r="D216" s="642"/>
      <c r="E216" s="642"/>
      <c r="F216" s="630">
        <v>1</v>
      </c>
      <c r="G216" s="631"/>
      <c r="H216" s="632"/>
      <c r="I216" s="633"/>
      <c r="J216" s="634"/>
    </row>
    <row r="217" spans="3:10" ht="30" customHeight="1" x14ac:dyDescent="0.25">
      <c r="C217" s="642"/>
      <c r="D217" s="642"/>
      <c r="E217" s="642"/>
      <c r="F217" s="630">
        <v>1</v>
      </c>
      <c r="G217" s="631"/>
      <c r="H217" s="632"/>
      <c r="I217" s="633"/>
      <c r="J217" s="634"/>
    </row>
    <row r="218" spans="3:10" ht="30" customHeight="1" x14ac:dyDescent="0.25">
      <c r="C218" s="642"/>
      <c r="D218" s="642"/>
      <c r="E218" s="642"/>
      <c r="F218" s="630">
        <v>1</v>
      </c>
      <c r="G218" s="631"/>
      <c r="H218" s="632"/>
      <c r="I218" s="633"/>
      <c r="J218" s="634"/>
    </row>
    <row r="219" spans="3:10" ht="30" customHeight="1" x14ac:dyDescent="0.25">
      <c r="C219" s="642"/>
      <c r="D219" s="642"/>
      <c r="E219" s="642"/>
      <c r="F219" s="630">
        <v>1</v>
      </c>
      <c r="G219" s="631"/>
      <c r="H219" s="632"/>
      <c r="I219" s="633"/>
      <c r="J219" s="634"/>
    </row>
    <row r="220" spans="3:10" ht="30" customHeight="1" x14ac:dyDescent="0.25">
      <c r="C220" s="642"/>
      <c r="D220" s="642"/>
      <c r="E220" s="642"/>
      <c r="F220" s="630">
        <v>1</v>
      </c>
      <c r="G220" s="631"/>
      <c r="H220" s="632"/>
      <c r="I220" s="633"/>
      <c r="J220" s="634"/>
    </row>
    <row r="221" spans="3:10" ht="30" customHeight="1" x14ac:dyDescent="0.25">
      <c r="C221" s="642"/>
      <c r="D221" s="642"/>
      <c r="E221" s="642"/>
      <c r="F221" s="630">
        <v>1</v>
      </c>
      <c r="G221" s="631"/>
      <c r="H221" s="632"/>
      <c r="I221" s="633"/>
      <c r="J221" s="634"/>
    </row>
    <row r="222" spans="3:10" ht="30" customHeight="1" x14ac:dyDescent="0.25">
      <c r="C222" s="642"/>
      <c r="D222" s="642"/>
      <c r="E222" s="642"/>
      <c r="F222" s="630">
        <v>1</v>
      </c>
      <c r="G222" s="631"/>
      <c r="H222" s="632"/>
      <c r="I222" s="633"/>
      <c r="J222" s="634"/>
    </row>
    <row r="223" spans="3:10" ht="30" customHeight="1" x14ac:dyDescent="0.25">
      <c r="C223" s="642"/>
      <c r="D223" s="642"/>
      <c r="E223" s="642"/>
      <c r="F223" s="630">
        <v>1</v>
      </c>
      <c r="G223" s="631"/>
      <c r="H223" s="632"/>
      <c r="I223" s="633"/>
      <c r="J223" s="634"/>
    </row>
    <row r="224" spans="3:10" ht="30" customHeight="1" x14ac:dyDescent="0.25">
      <c r="C224" s="642"/>
      <c r="D224" s="642"/>
      <c r="E224" s="642"/>
      <c r="F224" s="630">
        <v>1</v>
      </c>
      <c r="G224" s="631"/>
      <c r="H224" s="632"/>
      <c r="I224" s="633"/>
      <c r="J224" s="634"/>
    </row>
    <row r="225" spans="3:10" ht="30" customHeight="1" x14ac:dyDescent="0.25">
      <c r="C225" s="642"/>
      <c r="D225" s="642"/>
      <c r="E225" s="642"/>
      <c r="F225" s="630">
        <v>1</v>
      </c>
      <c r="G225" s="631"/>
      <c r="H225" s="632"/>
      <c r="I225" s="633"/>
      <c r="J225" s="634"/>
    </row>
    <row r="226" spans="3:10" ht="30" customHeight="1" x14ac:dyDescent="0.25">
      <c r="C226" s="642"/>
      <c r="D226" s="642"/>
      <c r="E226" s="642"/>
      <c r="F226" s="630">
        <v>1</v>
      </c>
      <c r="G226" s="631"/>
      <c r="H226" s="632"/>
      <c r="I226" s="633"/>
      <c r="J226" s="634"/>
    </row>
    <row r="227" spans="3:10" ht="30" customHeight="1" x14ac:dyDescent="0.25">
      <c r="C227" s="642"/>
      <c r="D227" s="642"/>
      <c r="E227" s="642"/>
      <c r="F227" s="630">
        <v>1</v>
      </c>
      <c r="G227" s="631"/>
      <c r="H227" s="632"/>
      <c r="I227" s="633"/>
      <c r="J227" s="634"/>
    </row>
    <row r="228" spans="3:10" ht="30" customHeight="1" x14ac:dyDescent="0.25">
      <c r="C228" s="642"/>
      <c r="D228" s="642"/>
      <c r="E228" s="642"/>
      <c r="F228" s="630">
        <v>1</v>
      </c>
      <c r="G228" s="631"/>
      <c r="H228" s="632"/>
      <c r="I228" s="633"/>
      <c r="J228" s="634"/>
    </row>
    <row r="229" spans="3:10" ht="30" customHeight="1" x14ac:dyDescent="0.25">
      <c r="C229" s="642"/>
      <c r="D229" s="642"/>
      <c r="E229" s="642"/>
      <c r="F229" s="630">
        <v>1</v>
      </c>
      <c r="G229" s="631"/>
      <c r="H229" s="632"/>
      <c r="I229" s="633"/>
      <c r="J229" s="634"/>
    </row>
    <row r="230" spans="3:10" ht="30" customHeight="1" x14ac:dyDescent="0.25">
      <c r="C230" s="642"/>
      <c r="D230" s="642"/>
      <c r="E230" s="642"/>
      <c r="F230" s="630">
        <v>1</v>
      </c>
      <c r="G230" s="631"/>
      <c r="H230" s="632"/>
      <c r="I230" s="633"/>
      <c r="J230" s="634"/>
    </row>
    <row r="231" spans="3:10" ht="30" customHeight="1" x14ac:dyDescent="0.25">
      <c r="C231" s="642"/>
      <c r="D231" s="642"/>
      <c r="E231" s="642"/>
      <c r="F231" s="630">
        <v>1</v>
      </c>
      <c r="G231" s="631"/>
      <c r="H231" s="632"/>
      <c r="I231" s="633"/>
      <c r="J231" s="634"/>
    </row>
    <row r="232" spans="3:10" ht="30" customHeight="1" x14ac:dyDescent="0.25">
      <c r="C232" s="642"/>
      <c r="D232" s="642"/>
      <c r="E232" s="642"/>
      <c r="F232" s="630">
        <v>1</v>
      </c>
      <c r="G232" s="631"/>
      <c r="H232" s="632"/>
      <c r="I232" s="633"/>
      <c r="J232" s="634"/>
    </row>
    <row r="233" spans="3:10" ht="30" customHeight="1" x14ac:dyDescent="0.25">
      <c r="C233" s="642"/>
      <c r="D233" s="642"/>
      <c r="E233" s="642"/>
      <c r="F233" s="630">
        <v>1</v>
      </c>
      <c r="G233" s="631"/>
      <c r="H233" s="632"/>
      <c r="I233" s="633"/>
      <c r="J233" s="634"/>
    </row>
    <row r="234" spans="3:10" ht="30" customHeight="1" x14ac:dyDescent="0.25">
      <c r="C234" s="642"/>
      <c r="D234" s="642"/>
      <c r="E234" s="642"/>
      <c r="F234" s="630">
        <v>1</v>
      </c>
      <c r="G234" s="631"/>
      <c r="H234" s="632"/>
      <c r="I234" s="633"/>
      <c r="J234" s="634"/>
    </row>
    <row r="235" spans="3:10" ht="30" customHeight="1" x14ac:dyDescent="0.25">
      <c r="C235" s="642"/>
      <c r="D235" s="642"/>
      <c r="E235" s="642"/>
      <c r="F235" s="630">
        <v>1</v>
      </c>
      <c r="G235" s="631"/>
      <c r="H235" s="632"/>
      <c r="I235" s="633"/>
      <c r="J235" s="634"/>
    </row>
    <row r="236" spans="3:10" ht="30" customHeight="1" x14ac:dyDescent="0.25">
      <c r="C236" s="642"/>
      <c r="D236" s="642"/>
      <c r="E236" s="642"/>
      <c r="F236" s="630">
        <v>1</v>
      </c>
      <c r="G236" s="631"/>
      <c r="H236" s="632"/>
      <c r="I236" s="633"/>
      <c r="J236" s="634"/>
    </row>
    <row r="237" spans="3:10" ht="30" customHeight="1" x14ac:dyDescent="0.25">
      <c r="C237" s="642"/>
      <c r="D237" s="642"/>
      <c r="E237" s="642"/>
      <c r="F237" s="630">
        <v>1</v>
      </c>
      <c r="G237" s="631"/>
      <c r="H237" s="632"/>
      <c r="I237" s="633"/>
      <c r="J237" s="634"/>
    </row>
    <row r="238" spans="3:10" ht="30" customHeight="1" x14ac:dyDescent="0.25">
      <c r="C238" s="642"/>
      <c r="D238" s="642"/>
      <c r="E238" s="642"/>
      <c r="F238" s="630">
        <v>1</v>
      </c>
      <c r="G238" s="631"/>
      <c r="H238" s="632"/>
      <c r="I238" s="633"/>
      <c r="J238" s="634"/>
    </row>
    <row r="239" spans="3:10" ht="30" customHeight="1" x14ac:dyDescent="0.25">
      <c r="C239" s="642"/>
      <c r="D239" s="642"/>
      <c r="E239" s="642"/>
      <c r="F239" s="630">
        <v>1</v>
      </c>
      <c r="G239" s="631"/>
      <c r="H239" s="632"/>
      <c r="I239" s="633"/>
      <c r="J239" s="634"/>
    </row>
    <row r="240" spans="3:10" ht="30" customHeight="1" x14ac:dyDescent="0.25">
      <c r="C240" s="642"/>
      <c r="D240" s="642"/>
      <c r="E240" s="642"/>
      <c r="F240" s="630">
        <v>1</v>
      </c>
      <c r="G240" s="631"/>
      <c r="H240" s="632"/>
      <c r="I240" s="633"/>
      <c r="J240" s="634"/>
    </row>
    <row r="241" spans="3:10" ht="30" customHeight="1" x14ac:dyDescent="0.25">
      <c r="C241" s="642"/>
      <c r="D241" s="642"/>
      <c r="E241" s="642"/>
      <c r="F241" s="630">
        <v>1</v>
      </c>
      <c r="G241" s="631"/>
      <c r="H241" s="632"/>
      <c r="I241" s="633"/>
      <c r="J241" s="634"/>
    </row>
    <row r="242" spans="3:10" ht="30" customHeight="1" x14ac:dyDescent="0.25">
      <c r="C242" s="642"/>
      <c r="D242" s="642"/>
      <c r="E242" s="642"/>
      <c r="F242" s="630">
        <v>1</v>
      </c>
      <c r="G242" s="631"/>
      <c r="H242" s="632"/>
      <c r="I242" s="633"/>
      <c r="J242" s="634"/>
    </row>
    <row r="243" spans="3:10" ht="30" customHeight="1" x14ac:dyDescent="0.25">
      <c r="C243" s="642"/>
      <c r="D243" s="642"/>
      <c r="E243" s="642"/>
      <c r="F243" s="630">
        <v>1</v>
      </c>
      <c r="G243" s="631"/>
      <c r="H243" s="632"/>
      <c r="I243" s="633"/>
      <c r="J243" s="634"/>
    </row>
    <row r="244" spans="3:10" ht="30" customHeight="1" x14ac:dyDescent="0.25">
      <c r="C244" s="642"/>
      <c r="D244" s="642"/>
      <c r="E244" s="642"/>
      <c r="F244" s="630">
        <v>1</v>
      </c>
      <c r="G244" s="631"/>
      <c r="H244" s="632"/>
      <c r="I244" s="633"/>
      <c r="J244" s="634"/>
    </row>
    <row r="245" spans="3:10" ht="30" customHeight="1" x14ac:dyDescent="0.25">
      <c r="C245" s="642"/>
      <c r="D245" s="642"/>
      <c r="E245" s="642"/>
      <c r="F245" s="630">
        <v>1</v>
      </c>
      <c r="G245" s="631"/>
      <c r="H245" s="632"/>
      <c r="I245" s="633"/>
      <c r="J245" s="634"/>
    </row>
    <row r="246" spans="3:10" ht="30" customHeight="1" x14ac:dyDescent="0.25">
      <c r="C246" s="642"/>
      <c r="D246" s="642"/>
      <c r="E246" s="642"/>
      <c r="F246" s="630">
        <v>1</v>
      </c>
      <c r="G246" s="631"/>
      <c r="H246" s="632"/>
      <c r="I246" s="633"/>
      <c r="J246" s="634"/>
    </row>
    <row r="247" spans="3:10" ht="30" customHeight="1" x14ac:dyDescent="0.25">
      <c r="C247" s="642"/>
      <c r="D247" s="642"/>
      <c r="E247" s="642"/>
      <c r="F247" s="630">
        <v>1</v>
      </c>
      <c r="G247" s="631"/>
      <c r="H247" s="632"/>
      <c r="I247" s="633"/>
      <c r="J247" s="634"/>
    </row>
    <row r="248" spans="3:10" ht="30" customHeight="1" x14ac:dyDescent="0.25">
      <c r="C248" s="642"/>
      <c r="D248" s="642"/>
      <c r="E248" s="642"/>
      <c r="F248" s="630">
        <v>1</v>
      </c>
      <c r="G248" s="631"/>
      <c r="H248" s="632"/>
      <c r="I248" s="633"/>
      <c r="J248" s="634"/>
    </row>
    <row r="249" spans="3:10" ht="30" customHeight="1" x14ac:dyDescent="0.25">
      <c r="C249" s="642"/>
      <c r="D249" s="642"/>
      <c r="E249" s="642"/>
      <c r="F249" s="630">
        <v>1</v>
      </c>
      <c r="G249" s="631"/>
      <c r="H249" s="632"/>
      <c r="I249" s="633"/>
      <c r="J249" s="634"/>
    </row>
    <row r="250" spans="3:10" ht="30" customHeight="1" x14ac:dyDescent="0.25">
      <c r="C250" s="642"/>
      <c r="D250" s="642"/>
      <c r="E250" s="642"/>
      <c r="F250" s="630">
        <v>1</v>
      </c>
      <c r="G250" s="631"/>
      <c r="H250" s="632"/>
      <c r="I250" s="633"/>
      <c r="J250" s="634"/>
    </row>
    <row r="251" spans="3:10" ht="30" customHeight="1" x14ac:dyDescent="0.25">
      <c r="C251" s="642"/>
      <c r="D251" s="642"/>
      <c r="E251" s="642"/>
      <c r="F251" s="630">
        <v>1</v>
      </c>
      <c r="G251" s="631"/>
      <c r="H251" s="632"/>
      <c r="I251" s="633"/>
      <c r="J251" s="634"/>
    </row>
    <row r="252" spans="3:10" ht="30" customHeight="1" x14ac:dyDescent="0.25">
      <c r="C252" s="642"/>
      <c r="D252" s="642"/>
      <c r="E252" s="642"/>
      <c r="F252" s="630">
        <v>1</v>
      </c>
      <c r="G252" s="631"/>
      <c r="H252" s="632"/>
      <c r="I252" s="633"/>
      <c r="J252" s="634"/>
    </row>
    <row r="253" spans="3:10" ht="30" customHeight="1" x14ac:dyDescent="0.25">
      <c r="C253" s="642"/>
      <c r="D253" s="642"/>
      <c r="E253" s="642"/>
      <c r="F253" s="630">
        <v>1</v>
      </c>
      <c r="G253" s="631"/>
      <c r="H253" s="632"/>
      <c r="I253" s="633"/>
      <c r="J253" s="634"/>
    </row>
    <row r="254" spans="3:10" ht="30" customHeight="1" x14ac:dyDescent="0.25">
      <c r="C254" s="642"/>
      <c r="D254" s="642"/>
      <c r="E254" s="642"/>
      <c r="F254" s="630">
        <v>1</v>
      </c>
      <c r="G254" s="631"/>
      <c r="H254" s="632"/>
      <c r="I254" s="633"/>
      <c r="J254" s="634"/>
    </row>
    <row r="255" spans="3:10" ht="30" customHeight="1" x14ac:dyDescent="0.25">
      <c r="C255" s="642"/>
      <c r="D255" s="642"/>
      <c r="E255" s="642"/>
      <c r="F255" s="630">
        <v>1</v>
      </c>
      <c r="G255" s="631"/>
      <c r="H255" s="632"/>
      <c r="I255" s="633"/>
      <c r="J255" s="634"/>
    </row>
    <row r="256" spans="3:10" ht="30" customHeight="1" x14ac:dyDescent="0.25">
      <c r="C256" s="642"/>
      <c r="D256" s="642"/>
      <c r="E256" s="642"/>
      <c r="F256" s="630">
        <v>1</v>
      </c>
      <c r="G256" s="631"/>
      <c r="H256" s="632"/>
      <c r="I256" s="633"/>
      <c r="J256" s="634"/>
    </row>
    <row r="257" spans="3:10" ht="30" customHeight="1" x14ac:dyDescent="0.25">
      <c r="C257" s="642"/>
      <c r="D257" s="642"/>
      <c r="E257" s="642"/>
      <c r="F257" s="630">
        <v>1</v>
      </c>
      <c r="G257" s="631"/>
      <c r="H257" s="632"/>
      <c r="I257" s="633"/>
      <c r="J257" s="634"/>
    </row>
    <row r="258" spans="3:10" ht="30" customHeight="1" x14ac:dyDescent="0.25">
      <c r="C258" s="642"/>
      <c r="D258" s="642"/>
      <c r="E258" s="642"/>
      <c r="F258" s="630">
        <v>1</v>
      </c>
      <c r="G258" s="631"/>
      <c r="H258" s="632"/>
      <c r="I258" s="633"/>
      <c r="J258" s="634"/>
    </row>
    <row r="259" spans="3:10" ht="30" customHeight="1" x14ac:dyDescent="0.25">
      <c r="C259" s="642"/>
      <c r="D259" s="642"/>
      <c r="E259" s="642"/>
      <c r="F259" s="630">
        <v>1</v>
      </c>
      <c r="G259" s="631"/>
      <c r="H259" s="632"/>
      <c r="I259" s="633"/>
      <c r="J259" s="634"/>
    </row>
    <row r="260" spans="3:10" ht="30" customHeight="1" x14ac:dyDescent="0.25">
      <c r="C260" s="642"/>
      <c r="D260" s="642"/>
      <c r="E260" s="642"/>
      <c r="F260" s="630">
        <v>1</v>
      </c>
      <c r="G260" s="631"/>
      <c r="H260" s="632"/>
      <c r="I260" s="633"/>
      <c r="J260" s="634"/>
    </row>
    <row r="261" spans="3:10" ht="30" customHeight="1" x14ac:dyDescent="0.25">
      <c r="C261" s="642"/>
      <c r="D261" s="642"/>
      <c r="E261" s="642"/>
      <c r="F261" s="630">
        <v>1</v>
      </c>
      <c r="G261" s="631"/>
      <c r="H261" s="632"/>
      <c r="I261" s="633"/>
      <c r="J261" s="634"/>
    </row>
    <row r="262" spans="3:10" ht="30" customHeight="1" x14ac:dyDescent="0.25">
      <c r="C262" s="642"/>
      <c r="D262" s="642"/>
      <c r="E262" s="642"/>
      <c r="F262" s="630">
        <v>1</v>
      </c>
      <c r="G262" s="631"/>
      <c r="H262" s="632"/>
      <c r="I262" s="633"/>
      <c r="J262" s="634"/>
    </row>
    <row r="263" spans="3:10" ht="30" customHeight="1" x14ac:dyDescent="0.25">
      <c r="C263" s="642"/>
      <c r="D263" s="642"/>
      <c r="E263" s="642"/>
      <c r="F263" s="630">
        <v>1</v>
      </c>
      <c r="G263" s="631"/>
      <c r="H263" s="632"/>
      <c r="I263" s="633"/>
      <c r="J263" s="634"/>
    </row>
    <row r="264" spans="3:10" ht="30" customHeight="1" x14ac:dyDescent="0.25">
      <c r="C264" s="642"/>
      <c r="D264" s="642"/>
      <c r="E264" s="642"/>
      <c r="F264" s="630">
        <v>1</v>
      </c>
      <c r="G264" s="631"/>
      <c r="H264" s="632"/>
      <c r="I264" s="633"/>
      <c r="J264" s="634"/>
    </row>
    <row r="265" spans="3:10" ht="30" customHeight="1" x14ac:dyDescent="0.25">
      <c r="C265" s="642"/>
      <c r="D265" s="642"/>
      <c r="E265" s="642"/>
      <c r="F265" s="630">
        <v>1</v>
      </c>
      <c r="G265" s="631"/>
      <c r="H265" s="632"/>
      <c r="I265" s="633"/>
      <c r="J265" s="634"/>
    </row>
    <row r="266" spans="3:10" ht="30" customHeight="1" x14ac:dyDescent="0.25">
      <c r="C266" s="642"/>
      <c r="D266" s="642"/>
      <c r="E266" s="642"/>
      <c r="F266" s="630">
        <v>1</v>
      </c>
      <c r="G266" s="631"/>
      <c r="H266" s="632"/>
      <c r="I266" s="633"/>
      <c r="J266" s="634"/>
    </row>
    <row r="267" spans="3:10" ht="30" customHeight="1" x14ac:dyDescent="0.25">
      <c r="C267" s="642"/>
      <c r="D267" s="642"/>
      <c r="E267" s="642"/>
      <c r="F267" s="630">
        <v>1</v>
      </c>
      <c r="G267" s="631"/>
      <c r="H267" s="632"/>
      <c r="I267" s="633"/>
      <c r="J267" s="634"/>
    </row>
    <row r="268" spans="3:10" ht="30" customHeight="1" x14ac:dyDescent="0.25">
      <c r="C268" s="642"/>
      <c r="D268" s="642"/>
      <c r="E268" s="642"/>
      <c r="F268" s="630">
        <v>1</v>
      </c>
      <c r="G268" s="631"/>
      <c r="H268" s="632"/>
      <c r="I268" s="633"/>
      <c r="J268" s="634"/>
    </row>
    <row r="269" spans="3:10" ht="30" customHeight="1" x14ac:dyDescent="0.25">
      <c r="C269" s="642"/>
      <c r="D269" s="642"/>
      <c r="E269" s="642"/>
      <c r="F269" s="630">
        <v>1</v>
      </c>
      <c r="G269" s="631"/>
      <c r="H269" s="632"/>
      <c r="I269" s="633"/>
      <c r="J269" s="634"/>
    </row>
    <row r="270" spans="3:10" ht="30" customHeight="1" x14ac:dyDescent="0.25">
      <c r="C270" s="642"/>
      <c r="D270" s="642"/>
      <c r="E270" s="642"/>
      <c r="F270" s="630">
        <v>1</v>
      </c>
      <c r="G270" s="631"/>
      <c r="H270" s="632"/>
      <c r="I270" s="633"/>
      <c r="J270" s="634"/>
    </row>
    <row r="271" spans="3:10" ht="30" customHeight="1" x14ac:dyDescent="0.25">
      <c r="C271" s="642"/>
      <c r="D271" s="642"/>
      <c r="E271" s="642"/>
      <c r="F271" s="630">
        <v>1</v>
      </c>
      <c r="G271" s="631"/>
      <c r="H271" s="632"/>
      <c r="I271" s="633"/>
      <c r="J271" s="634"/>
    </row>
    <row r="272" spans="3:10" ht="30" customHeight="1" x14ac:dyDescent="0.25">
      <c r="C272" s="642"/>
      <c r="D272" s="642"/>
      <c r="E272" s="642"/>
      <c r="F272" s="630">
        <v>1</v>
      </c>
      <c r="G272" s="631"/>
      <c r="H272" s="632"/>
      <c r="I272" s="633"/>
      <c r="J272" s="634"/>
    </row>
    <row r="273" spans="3:10" ht="30" customHeight="1" x14ac:dyDescent="0.25">
      <c r="C273" s="642"/>
      <c r="D273" s="642"/>
      <c r="E273" s="642"/>
      <c r="F273" s="630">
        <v>1</v>
      </c>
      <c r="G273" s="631"/>
      <c r="H273" s="632"/>
      <c r="I273" s="633"/>
      <c r="J273" s="634"/>
    </row>
    <row r="274" spans="3:10" ht="30" customHeight="1" x14ac:dyDescent="0.25">
      <c r="C274" s="642"/>
      <c r="D274" s="642"/>
      <c r="E274" s="642"/>
      <c r="F274" s="630">
        <v>1</v>
      </c>
      <c r="G274" s="631"/>
      <c r="H274" s="632"/>
      <c r="I274" s="633"/>
      <c r="J274" s="634"/>
    </row>
    <row r="275" spans="3:10" ht="30" customHeight="1" x14ac:dyDescent="0.25">
      <c r="C275" s="642"/>
      <c r="D275" s="642"/>
      <c r="E275" s="642"/>
      <c r="F275" s="630">
        <v>1</v>
      </c>
      <c r="G275" s="631"/>
      <c r="H275" s="632"/>
      <c r="I275" s="633"/>
      <c r="J275" s="634"/>
    </row>
    <row r="276" spans="3:10" ht="30" customHeight="1" x14ac:dyDescent="0.25">
      <c r="C276" s="642"/>
      <c r="D276" s="642"/>
      <c r="E276" s="642"/>
      <c r="F276" s="630">
        <v>1</v>
      </c>
      <c r="G276" s="631"/>
      <c r="H276" s="632"/>
      <c r="I276" s="633"/>
      <c r="J276" s="634"/>
    </row>
    <row r="277" spans="3:10" ht="30" customHeight="1" x14ac:dyDescent="0.25">
      <c r="C277" s="642"/>
      <c r="D277" s="642"/>
      <c r="E277" s="642"/>
      <c r="F277" s="630">
        <v>1</v>
      </c>
      <c r="G277" s="631"/>
      <c r="H277" s="632"/>
      <c r="I277" s="633"/>
      <c r="J277" s="634"/>
    </row>
    <row r="278" spans="3:10" ht="30" customHeight="1" x14ac:dyDescent="0.25">
      <c r="C278" s="642"/>
      <c r="D278" s="642"/>
      <c r="E278" s="642"/>
      <c r="F278" s="630">
        <v>1</v>
      </c>
      <c r="G278" s="631"/>
      <c r="H278" s="632"/>
      <c r="I278" s="633"/>
      <c r="J278" s="634"/>
    </row>
    <row r="279" spans="3:10" ht="30" customHeight="1" x14ac:dyDescent="0.25">
      <c r="C279" s="642"/>
      <c r="D279" s="642"/>
      <c r="E279" s="642"/>
      <c r="F279" s="630">
        <v>1</v>
      </c>
      <c r="G279" s="631"/>
      <c r="H279" s="632"/>
      <c r="I279" s="633"/>
      <c r="J279" s="634"/>
    </row>
    <row r="280" spans="3:10" ht="30" customHeight="1" x14ac:dyDescent="0.25">
      <c r="C280" s="642"/>
      <c r="D280" s="642"/>
      <c r="E280" s="642"/>
      <c r="F280" s="630">
        <v>1</v>
      </c>
      <c r="G280" s="631"/>
      <c r="H280" s="632"/>
      <c r="I280" s="633"/>
      <c r="J280" s="634"/>
    </row>
    <row r="281" spans="3:10" ht="30" customHeight="1" x14ac:dyDescent="0.25">
      <c r="C281" s="642"/>
      <c r="D281" s="642"/>
      <c r="E281" s="642"/>
      <c r="F281" s="630">
        <v>1</v>
      </c>
      <c r="G281" s="631"/>
      <c r="H281" s="632"/>
      <c r="I281" s="633"/>
      <c r="J281" s="634"/>
    </row>
    <row r="282" spans="3:10" ht="30" customHeight="1" x14ac:dyDescent="0.25">
      <c r="C282" s="642"/>
      <c r="D282" s="642"/>
      <c r="E282" s="642"/>
      <c r="F282" s="630">
        <v>1</v>
      </c>
      <c r="G282" s="631"/>
      <c r="H282" s="632"/>
      <c r="I282" s="633"/>
      <c r="J282" s="634"/>
    </row>
    <row r="283" spans="3:10" ht="30" customHeight="1" x14ac:dyDescent="0.25">
      <c r="C283" s="642"/>
      <c r="D283" s="642"/>
      <c r="E283" s="642"/>
      <c r="F283" s="630">
        <v>1</v>
      </c>
      <c r="G283" s="631"/>
      <c r="H283" s="632"/>
      <c r="I283" s="633"/>
      <c r="J283" s="634"/>
    </row>
    <row r="284" spans="3:10" ht="30" customHeight="1" x14ac:dyDescent="0.25">
      <c r="C284" s="642"/>
      <c r="D284" s="642"/>
      <c r="E284" s="642"/>
      <c r="F284" s="630">
        <v>1</v>
      </c>
      <c r="G284" s="631"/>
      <c r="H284" s="632"/>
      <c r="I284" s="633"/>
      <c r="J284" s="634"/>
    </row>
    <row r="285" spans="3:10" ht="30" customHeight="1" x14ac:dyDescent="0.25">
      <c r="C285" s="642"/>
      <c r="D285" s="642"/>
      <c r="E285" s="642"/>
      <c r="F285" s="630">
        <v>1</v>
      </c>
      <c r="G285" s="631"/>
      <c r="H285" s="632"/>
      <c r="I285" s="633"/>
      <c r="J285" s="634"/>
    </row>
    <row r="286" spans="3:10" ht="30" customHeight="1" x14ac:dyDescent="0.25">
      <c r="C286" s="642"/>
      <c r="D286" s="642"/>
      <c r="E286" s="642"/>
      <c r="F286" s="630">
        <v>1</v>
      </c>
      <c r="G286" s="631"/>
      <c r="H286" s="632"/>
      <c r="I286" s="633"/>
      <c r="J286" s="634"/>
    </row>
    <row r="287" spans="3:10" ht="30" customHeight="1" x14ac:dyDescent="0.25">
      <c r="C287" s="642"/>
      <c r="D287" s="642"/>
      <c r="E287" s="642"/>
      <c r="F287" s="630">
        <v>1</v>
      </c>
      <c r="G287" s="631"/>
      <c r="H287" s="632"/>
      <c r="I287" s="633"/>
      <c r="J287" s="634"/>
    </row>
    <row r="288" spans="3:10" ht="30" customHeight="1" x14ac:dyDescent="0.25">
      <c r="C288" s="642"/>
      <c r="D288" s="642"/>
      <c r="E288" s="642"/>
      <c r="F288" s="630">
        <v>1</v>
      </c>
      <c r="G288" s="631"/>
      <c r="H288" s="632"/>
      <c r="I288" s="633"/>
      <c r="J288" s="634"/>
    </row>
    <row r="289" spans="3:10" ht="30" customHeight="1" x14ac:dyDescent="0.25">
      <c r="C289" s="642"/>
      <c r="D289" s="642"/>
      <c r="E289" s="642"/>
      <c r="F289" s="630">
        <v>1</v>
      </c>
      <c r="G289" s="631"/>
      <c r="H289" s="632"/>
      <c r="I289" s="633"/>
      <c r="J289" s="634"/>
    </row>
    <row r="290" spans="3:10" ht="30" customHeight="1" x14ac:dyDescent="0.25">
      <c r="C290" s="642"/>
      <c r="D290" s="642"/>
      <c r="E290" s="642"/>
      <c r="F290" s="630">
        <v>1</v>
      </c>
      <c r="G290" s="631"/>
      <c r="H290" s="632"/>
      <c r="I290" s="633"/>
      <c r="J290" s="634"/>
    </row>
    <row r="291" spans="3:10" ht="30" customHeight="1" x14ac:dyDescent="0.25">
      <c r="C291" s="642"/>
      <c r="D291" s="642"/>
      <c r="E291" s="642"/>
      <c r="F291" s="630">
        <v>1</v>
      </c>
      <c r="G291" s="631"/>
      <c r="H291" s="632"/>
      <c r="I291" s="633"/>
      <c r="J291" s="634"/>
    </row>
    <row r="292" spans="3:10" ht="30" customHeight="1" x14ac:dyDescent="0.25">
      <c r="C292" s="642"/>
      <c r="D292" s="642"/>
      <c r="E292" s="642"/>
      <c r="F292" s="630">
        <v>1</v>
      </c>
      <c r="G292" s="631"/>
      <c r="H292" s="632"/>
      <c r="I292" s="633"/>
      <c r="J292" s="634"/>
    </row>
    <row r="293" spans="3:10" ht="30" customHeight="1" x14ac:dyDescent="0.25">
      <c r="C293" s="642"/>
      <c r="D293" s="642"/>
      <c r="E293" s="642"/>
      <c r="F293" s="630">
        <v>1</v>
      </c>
      <c r="G293" s="631"/>
      <c r="H293" s="632"/>
      <c r="I293" s="633"/>
      <c r="J293" s="634"/>
    </row>
    <row r="294" spans="3:10" ht="30" customHeight="1" x14ac:dyDescent="0.25">
      <c r="C294" s="642"/>
      <c r="D294" s="642"/>
      <c r="E294" s="642"/>
      <c r="F294" s="630">
        <v>1</v>
      </c>
      <c r="G294" s="631"/>
      <c r="H294" s="632"/>
      <c r="I294" s="633"/>
      <c r="J294" s="634"/>
    </row>
    <row r="295" spans="3:10" ht="30" customHeight="1" x14ac:dyDescent="0.25">
      <c r="C295" s="642"/>
      <c r="D295" s="642"/>
      <c r="E295" s="642"/>
      <c r="F295" s="630">
        <v>1</v>
      </c>
      <c r="G295" s="631"/>
      <c r="H295" s="632"/>
      <c r="I295" s="633"/>
      <c r="J295" s="634"/>
    </row>
    <row r="296" spans="3:10" ht="30" customHeight="1" x14ac:dyDescent="0.25">
      <c r="C296" s="642"/>
      <c r="D296" s="642"/>
      <c r="E296" s="642"/>
      <c r="F296" s="630">
        <v>1</v>
      </c>
      <c r="G296" s="631"/>
      <c r="H296" s="632"/>
      <c r="I296" s="633"/>
      <c r="J296" s="634"/>
    </row>
    <row r="297" spans="3:10" ht="30" customHeight="1" x14ac:dyDescent="0.25">
      <c r="C297" s="642"/>
      <c r="D297" s="642"/>
      <c r="E297" s="642"/>
      <c r="F297" s="630">
        <v>1</v>
      </c>
      <c r="G297" s="631"/>
      <c r="H297" s="632"/>
      <c r="I297" s="633"/>
      <c r="J297" s="634"/>
    </row>
    <row r="298" spans="3:10" ht="30" customHeight="1" x14ac:dyDescent="0.25">
      <c r="C298" s="642"/>
      <c r="D298" s="642"/>
      <c r="E298" s="642"/>
      <c r="F298" s="630">
        <v>1</v>
      </c>
      <c r="G298" s="631"/>
      <c r="H298" s="632"/>
      <c r="I298" s="633"/>
      <c r="J298" s="634"/>
    </row>
    <row r="299" spans="3:10" ht="30" customHeight="1" x14ac:dyDescent="0.25">
      <c r="C299" s="642"/>
      <c r="D299" s="642"/>
      <c r="E299" s="642"/>
      <c r="F299" s="630">
        <v>1</v>
      </c>
      <c r="G299" s="631"/>
      <c r="H299" s="632"/>
      <c r="I299" s="633"/>
      <c r="J299" s="634"/>
    </row>
    <row r="300" spans="3:10" ht="30" customHeight="1" x14ac:dyDescent="0.25">
      <c r="C300" s="642"/>
      <c r="D300" s="642"/>
      <c r="E300" s="642"/>
      <c r="F300" s="630">
        <v>1</v>
      </c>
      <c r="G300" s="631"/>
      <c r="H300" s="632"/>
      <c r="I300" s="633"/>
      <c r="J300" s="634"/>
    </row>
    <row r="301" spans="3:10" ht="30" customHeight="1" x14ac:dyDescent="0.25">
      <c r="C301" s="642"/>
      <c r="D301" s="642"/>
      <c r="E301" s="642"/>
      <c r="F301" s="630">
        <v>1</v>
      </c>
      <c r="G301" s="631"/>
      <c r="H301" s="632"/>
      <c r="I301" s="633"/>
      <c r="J301" s="634"/>
    </row>
    <row r="302" spans="3:10" ht="30" customHeight="1" x14ac:dyDescent="0.25">
      <c r="C302" s="642"/>
      <c r="D302" s="642"/>
      <c r="E302" s="642"/>
      <c r="F302" s="630">
        <v>1</v>
      </c>
      <c r="G302" s="631"/>
      <c r="H302" s="632"/>
      <c r="I302" s="633"/>
      <c r="J302" s="634"/>
    </row>
    <row r="303" spans="3:10" ht="30" customHeight="1" x14ac:dyDescent="0.25">
      <c r="C303" s="642"/>
      <c r="D303" s="642"/>
      <c r="E303" s="642"/>
      <c r="F303" s="630">
        <v>1</v>
      </c>
      <c r="G303" s="631"/>
      <c r="H303" s="632"/>
      <c r="I303" s="633"/>
      <c r="J303" s="634"/>
    </row>
    <row r="304" spans="3:10" ht="30" customHeight="1" x14ac:dyDescent="0.25">
      <c r="C304" s="642"/>
      <c r="D304" s="642"/>
      <c r="E304" s="642"/>
      <c r="F304" s="630">
        <v>1</v>
      </c>
      <c r="G304" s="631"/>
      <c r="H304" s="632"/>
      <c r="I304" s="633"/>
      <c r="J304" s="634"/>
    </row>
    <row r="305" spans="3:10" ht="30" customHeight="1" x14ac:dyDescent="0.25">
      <c r="C305" s="642"/>
      <c r="D305" s="642"/>
      <c r="E305" s="642"/>
      <c r="F305" s="630">
        <v>1</v>
      </c>
      <c r="G305" s="631"/>
      <c r="H305" s="632"/>
      <c r="I305" s="633"/>
      <c r="J305" s="634"/>
    </row>
    <row r="306" spans="3:10" ht="30" customHeight="1" x14ac:dyDescent="0.25">
      <c r="C306" s="642"/>
      <c r="D306" s="642"/>
      <c r="E306" s="642"/>
      <c r="F306" s="630">
        <v>1</v>
      </c>
      <c r="G306" s="631"/>
      <c r="H306" s="632"/>
      <c r="I306" s="633"/>
      <c r="J306" s="634"/>
    </row>
    <row r="307" spans="3:10" ht="30" customHeight="1" x14ac:dyDescent="0.25">
      <c r="C307" s="642"/>
      <c r="D307" s="642"/>
      <c r="E307" s="642"/>
      <c r="F307" s="630">
        <v>1</v>
      </c>
      <c r="G307" s="631"/>
      <c r="H307" s="632"/>
      <c r="I307" s="633"/>
      <c r="J307" s="634"/>
    </row>
    <row r="308" spans="3:10" ht="30" customHeight="1" x14ac:dyDescent="0.25">
      <c r="C308" s="642"/>
      <c r="D308" s="642"/>
      <c r="E308" s="642"/>
      <c r="F308" s="630">
        <v>1</v>
      </c>
      <c r="G308" s="631"/>
      <c r="H308" s="632"/>
      <c r="I308" s="633"/>
      <c r="J308" s="634"/>
    </row>
    <row r="309" spans="3:10" ht="30" customHeight="1" x14ac:dyDescent="0.25">
      <c r="C309" s="642"/>
      <c r="D309" s="642"/>
      <c r="E309" s="642"/>
      <c r="F309" s="630">
        <v>1</v>
      </c>
      <c r="G309" s="631"/>
      <c r="H309" s="632"/>
      <c r="I309" s="633"/>
      <c r="J309" s="634"/>
    </row>
    <row r="310" spans="3:10" ht="30" customHeight="1" x14ac:dyDescent="0.25">
      <c r="C310" s="642"/>
      <c r="D310" s="642"/>
      <c r="E310" s="642"/>
      <c r="F310" s="630">
        <v>1</v>
      </c>
      <c r="G310" s="631"/>
      <c r="H310" s="632"/>
      <c r="I310" s="633"/>
      <c r="J310" s="634"/>
    </row>
    <row r="311" spans="3:10" ht="30" customHeight="1" x14ac:dyDescent="0.25">
      <c r="C311" s="642"/>
      <c r="D311" s="642"/>
      <c r="E311" s="642"/>
      <c r="F311" s="630">
        <v>1</v>
      </c>
      <c r="G311" s="631"/>
      <c r="H311" s="632"/>
      <c r="I311" s="633"/>
      <c r="J311" s="634"/>
    </row>
    <row r="312" spans="3:10" ht="30" customHeight="1" x14ac:dyDescent="0.25">
      <c r="C312" s="642"/>
      <c r="D312" s="642"/>
      <c r="E312" s="642"/>
      <c r="F312" s="630">
        <v>1</v>
      </c>
      <c r="G312" s="631"/>
      <c r="H312" s="632"/>
      <c r="I312" s="633"/>
      <c r="J312" s="634"/>
    </row>
    <row r="313" spans="3:10" ht="30" customHeight="1" x14ac:dyDescent="0.25">
      <c r="C313" s="642"/>
      <c r="D313" s="642"/>
      <c r="E313" s="642"/>
      <c r="F313" s="630">
        <v>1</v>
      </c>
      <c r="G313" s="631"/>
      <c r="H313" s="632"/>
      <c r="I313" s="633"/>
      <c r="J313" s="634"/>
    </row>
    <row r="314" spans="3:10" ht="30" customHeight="1" x14ac:dyDescent="0.25">
      <c r="C314" s="642"/>
      <c r="D314" s="642"/>
      <c r="E314" s="642"/>
      <c r="F314" s="630">
        <v>1</v>
      </c>
      <c r="G314" s="631"/>
      <c r="H314" s="632"/>
      <c r="I314" s="633"/>
      <c r="J314" s="634"/>
    </row>
    <row r="315" spans="3:10" ht="30" customHeight="1" x14ac:dyDescent="0.25">
      <c r="C315" s="642"/>
      <c r="D315" s="642"/>
      <c r="E315" s="642"/>
      <c r="F315" s="630">
        <v>1</v>
      </c>
      <c r="G315" s="631"/>
      <c r="H315" s="632"/>
      <c r="I315" s="633"/>
      <c r="J315" s="634"/>
    </row>
    <row r="316" spans="3:10" ht="30" customHeight="1" x14ac:dyDescent="0.25">
      <c r="C316" s="642"/>
      <c r="D316" s="642"/>
      <c r="E316" s="642"/>
      <c r="F316" s="630">
        <v>1</v>
      </c>
      <c r="G316" s="631"/>
      <c r="H316" s="632"/>
      <c r="I316" s="633"/>
      <c r="J316" s="634"/>
    </row>
    <row r="317" spans="3:10" ht="30" customHeight="1" x14ac:dyDescent="0.25">
      <c r="C317" s="642"/>
      <c r="D317" s="642"/>
      <c r="E317" s="642"/>
      <c r="F317" s="630">
        <v>1</v>
      </c>
      <c r="G317" s="631"/>
      <c r="H317" s="632"/>
      <c r="I317" s="633"/>
      <c r="J317" s="634"/>
    </row>
    <row r="318" spans="3:10" ht="30" customHeight="1" x14ac:dyDescent="0.25">
      <c r="C318" s="642"/>
      <c r="D318" s="642"/>
      <c r="E318" s="642"/>
      <c r="F318" s="630">
        <v>1</v>
      </c>
      <c r="G318" s="631"/>
      <c r="H318" s="632"/>
      <c r="I318" s="633"/>
      <c r="J318" s="634"/>
    </row>
    <row r="319" spans="3:10" ht="30" customHeight="1" x14ac:dyDescent="0.25">
      <c r="C319" s="642"/>
      <c r="D319" s="642"/>
      <c r="E319" s="642"/>
      <c r="F319" s="630">
        <v>1</v>
      </c>
      <c r="G319" s="631"/>
      <c r="H319" s="632"/>
      <c r="I319" s="633"/>
      <c r="J319" s="634"/>
    </row>
    <row r="320" spans="3:10" ht="30" customHeight="1" x14ac:dyDescent="0.25">
      <c r="C320" s="642"/>
      <c r="D320" s="642"/>
      <c r="E320" s="642"/>
      <c r="F320" s="630">
        <v>1</v>
      </c>
      <c r="G320" s="631"/>
      <c r="H320" s="632"/>
      <c r="I320" s="633"/>
      <c r="J320" s="634"/>
    </row>
    <row r="321" spans="3:10" ht="30" customHeight="1" x14ac:dyDescent="0.25">
      <c r="C321" s="642"/>
      <c r="D321" s="642"/>
      <c r="E321" s="642"/>
      <c r="F321" s="630">
        <v>1</v>
      </c>
      <c r="G321" s="631"/>
      <c r="H321" s="632"/>
      <c r="I321" s="633"/>
      <c r="J321" s="634"/>
    </row>
    <row r="322" spans="3:10" ht="30" customHeight="1" x14ac:dyDescent="0.25">
      <c r="C322" s="642"/>
      <c r="D322" s="642"/>
      <c r="E322" s="642"/>
      <c r="F322" s="630">
        <v>1</v>
      </c>
      <c r="G322" s="631"/>
      <c r="H322" s="632"/>
      <c r="I322" s="633"/>
      <c r="J322" s="634"/>
    </row>
    <row r="323" spans="3:10" ht="30" customHeight="1" x14ac:dyDescent="0.25">
      <c r="C323" s="642"/>
      <c r="D323" s="642"/>
      <c r="E323" s="642"/>
      <c r="F323" s="630">
        <v>1</v>
      </c>
      <c r="G323" s="631"/>
      <c r="H323" s="632"/>
      <c r="I323" s="633"/>
      <c r="J323" s="634"/>
    </row>
    <row r="324" spans="3:10" ht="30" customHeight="1" x14ac:dyDescent="0.25">
      <c r="C324" s="642"/>
      <c r="D324" s="642"/>
      <c r="E324" s="642"/>
      <c r="F324" s="630">
        <v>1</v>
      </c>
      <c r="G324" s="631"/>
      <c r="H324" s="632"/>
      <c r="I324" s="633"/>
      <c r="J324" s="634"/>
    </row>
    <row r="325" spans="3:10" ht="30" customHeight="1" x14ac:dyDescent="0.25">
      <c r="C325" s="642"/>
      <c r="D325" s="642"/>
      <c r="E325" s="642"/>
      <c r="F325" s="630">
        <v>1</v>
      </c>
      <c r="G325" s="631"/>
      <c r="H325" s="632"/>
      <c r="I325" s="633"/>
      <c r="J325" s="634"/>
    </row>
    <row r="326" spans="3:10" ht="30" customHeight="1" x14ac:dyDescent="0.25">
      <c r="C326" s="642"/>
      <c r="D326" s="642"/>
      <c r="E326" s="642"/>
      <c r="F326" s="630">
        <v>1</v>
      </c>
      <c r="G326" s="631"/>
      <c r="H326" s="632"/>
      <c r="I326" s="633"/>
      <c r="J326" s="634"/>
    </row>
    <row r="327" spans="3:10" ht="30" customHeight="1" x14ac:dyDescent="0.25">
      <c r="C327" s="642"/>
      <c r="D327" s="642"/>
      <c r="E327" s="642"/>
      <c r="F327" s="630">
        <v>1</v>
      </c>
      <c r="G327" s="631"/>
      <c r="H327" s="632"/>
      <c r="I327" s="633"/>
      <c r="J327" s="634"/>
    </row>
    <row r="328" spans="3:10" ht="30" customHeight="1" x14ac:dyDescent="0.25">
      <c r="C328" s="642"/>
      <c r="D328" s="642"/>
      <c r="E328" s="642"/>
      <c r="F328" s="630">
        <v>1</v>
      </c>
      <c r="G328" s="631"/>
      <c r="H328" s="632"/>
      <c r="I328" s="633"/>
      <c r="J328" s="634"/>
    </row>
    <row r="329" spans="3:10" ht="30" customHeight="1" x14ac:dyDescent="0.25">
      <c r="C329" s="642"/>
      <c r="D329" s="642"/>
      <c r="E329" s="642"/>
      <c r="F329" s="630">
        <v>1</v>
      </c>
      <c r="G329" s="631"/>
      <c r="H329" s="632"/>
      <c r="I329" s="633"/>
      <c r="J329" s="634"/>
    </row>
    <row r="330" spans="3:10" ht="30" customHeight="1" x14ac:dyDescent="0.25">
      <c r="C330" s="642"/>
      <c r="D330" s="642"/>
      <c r="E330" s="642"/>
      <c r="F330" s="630">
        <v>1</v>
      </c>
      <c r="G330" s="631"/>
      <c r="H330" s="632"/>
      <c r="I330" s="633"/>
      <c r="J330" s="634"/>
    </row>
    <row r="331" spans="3:10" ht="30" customHeight="1" x14ac:dyDescent="0.25">
      <c r="C331" s="642"/>
      <c r="D331" s="642"/>
      <c r="E331" s="642"/>
      <c r="F331" s="630">
        <v>1</v>
      </c>
      <c r="G331" s="631"/>
      <c r="H331" s="632"/>
      <c r="I331" s="633"/>
      <c r="J331" s="634"/>
    </row>
    <row r="332" spans="3:10" ht="30" customHeight="1" x14ac:dyDescent="0.25">
      <c r="C332" s="642"/>
      <c r="D332" s="642"/>
      <c r="E332" s="642"/>
      <c r="F332" s="630">
        <v>1</v>
      </c>
      <c r="G332" s="631"/>
      <c r="H332" s="632"/>
      <c r="I332" s="633"/>
      <c r="J332" s="634"/>
    </row>
    <row r="333" spans="3:10" ht="30" customHeight="1" x14ac:dyDescent="0.25">
      <c r="C333" s="642"/>
      <c r="D333" s="642"/>
      <c r="E333" s="642"/>
      <c r="F333" s="630">
        <v>1</v>
      </c>
      <c r="G333" s="631"/>
      <c r="H333" s="632"/>
      <c r="I333" s="633"/>
      <c r="J333" s="634"/>
    </row>
    <row r="334" spans="3:10" ht="30" customHeight="1" x14ac:dyDescent="0.25">
      <c r="C334" s="642"/>
      <c r="D334" s="642"/>
      <c r="E334" s="642"/>
      <c r="F334" s="630">
        <v>1</v>
      </c>
      <c r="G334" s="631"/>
      <c r="H334" s="632"/>
      <c r="I334" s="633"/>
      <c r="J334" s="634"/>
    </row>
    <row r="335" spans="3:10" ht="30" customHeight="1" x14ac:dyDescent="0.25">
      <c r="C335" s="642"/>
      <c r="D335" s="642"/>
      <c r="E335" s="642"/>
      <c r="F335" s="630">
        <v>1</v>
      </c>
      <c r="G335" s="631"/>
      <c r="H335" s="632"/>
      <c r="I335" s="633"/>
      <c r="J335" s="634"/>
    </row>
    <row r="336" spans="3:10" ht="30" customHeight="1" x14ac:dyDescent="0.25">
      <c r="C336" s="642"/>
      <c r="D336" s="642"/>
      <c r="E336" s="642"/>
      <c r="F336" s="630">
        <v>1</v>
      </c>
      <c r="G336" s="631"/>
      <c r="H336" s="632"/>
      <c r="I336" s="633"/>
      <c r="J336" s="634"/>
    </row>
    <row r="337" spans="3:10" ht="30" customHeight="1" x14ac:dyDescent="0.25">
      <c r="C337" s="642"/>
      <c r="D337" s="642"/>
      <c r="E337" s="642"/>
      <c r="F337" s="630">
        <v>1</v>
      </c>
      <c r="G337" s="631"/>
      <c r="H337" s="632"/>
      <c r="I337" s="633"/>
      <c r="J337" s="634"/>
    </row>
    <row r="338" spans="3:10" ht="30" customHeight="1" x14ac:dyDescent="0.25">
      <c r="C338" s="642"/>
      <c r="D338" s="642"/>
      <c r="E338" s="642"/>
      <c r="F338" s="630">
        <v>1</v>
      </c>
      <c r="G338" s="631"/>
      <c r="H338" s="632"/>
      <c r="I338" s="633"/>
      <c r="J338" s="634"/>
    </row>
    <row r="339" spans="3:10" ht="30" customHeight="1" x14ac:dyDescent="0.25">
      <c r="C339" s="642"/>
      <c r="D339" s="642"/>
      <c r="E339" s="642"/>
      <c r="F339" s="630">
        <v>1</v>
      </c>
      <c r="G339" s="631"/>
      <c r="H339" s="632"/>
      <c r="I339" s="633"/>
      <c r="J339" s="634"/>
    </row>
    <row r="340" spans="3:10" ht="30" customHeight="1" x14ac:dyDescent="0.25">
      <c r="C340" s="642"/>
      <c r="D340" s="642"/>
      <c r="E340" s="642"/>
      <c r="F340" s="630">
        <v>1</v>
      </c>
      <c r="G340" s="631"/>
      <c r="H340" s="632"/>
      <c r="I340" s="633"/>
      <c r="J340" s="634"/>
    </row>
    <row r="341" spans="3:10" ht="30" customHeight="1" x14ac:dyDescent="0.25">
      <c r="C341" s="642"/>
      <c r="D341" s="642"/>
      <c r="E341" s="642"/>
      <c r="F341" s="630">
        <v>1</v>
      </c>
      <c r="G341" s="631"/>
      <c r="H341" s="632"/>
      <c r="I341" s="633"/>
      <c r="J341" s="634"/>
    </row>
    <row r="342" spans="3:10" ht="30" customHeight="1" x14ac:dyDescent="0.25">
      <c r="C342" s="642"/>
      <c r="D342" s="642"/>
      <c r="E342" s="642"/>
      <c r="F342" s="630">
        <v>1</v>
      </c>
      <c r="G342" s="631"/>
      <c r="H342" s="632"/>
      <c r="I342" s="633"/>
      <c r="J342" s="634"/>
    </row>
    <row r="343" spans="3:10" ht="30" customHeight="1" x14ac:dyDescent="0.25">
      <c r="C343" s="642"/>
      <c r="D343" s="642"/>
      <c r="E343" s="642"/>
      <c r="F343" s="630">
        <v>1</v>
      </c>
      <c r="G343" s="631"/>
      <c r="H343" s="632"/>
      <c r="I343" s="633"/>
      <c r="J343" s="634"/>
    </row>
    <row r="344" spans="3:10" ht="30" customHeight="1" x14ac:dyDescent="0.25">
      <c r="C344" s="642"/>
      <c r="D344" s="642"/>
      <c r="E344" s="642"/>
      <c r="F344" s="630">
        <v>1</v>
      </c>
      <c r="G344" s="631"/>
      <c r="H344" s="632"/>
      <c r="I344" s="633"/>
      <c r="J344" s="634"/>
    </row>
    <row r="345" spans="3:10" ht="30" customHeight="1" x14ac:dyDescent="0.25">
      <c r="C345" s="642"/>
      <c r="D345" s="642"/>
      <c r="E345" s="642"/>
      <c r="F345" s="630">
        <v>1</v>
      </c>
      <c r="G345" s="631"/>
      <c r="H345" s="632"/>
      <c r="I345" s="633"/>
      <c r="J345" s="634"/>
    </row>
    <row r="346" spans="3:10" ht="30" customHeight="1" x14ac:dyDescent="0.25">
      <c r="C346" s="642"/>
      <c r="D346" s="642"/>
      <c r="E346" s="642"/>
      <c r="F346" s="630">
        <v>1</v>
      </c>
      <c r="G346" s="631"/>
      <c r="H346" s="632"/>
      <c r="I346" s="633"/>
      <c r="J346" s="634"/>
    </row>
    <row r="347" spans="3:10" ht="30" customHeight="1" x14ac:dyDescent="0.25">
      <c r="C347" s="642"/>
      <c r="D347" s="642"/>
      <c r="E347" s="642"/>
      <c r="F347" s="630">
        <v>1</v>
      </c>
      <c r="G347" s="631"/>
      <c r="H347" s="632"/>
      <c r="I347" s="633"/>
      <c r="J347" s="634"/>
    </row>
    <row r="348" spans="3:10" ht="30" customHeight="1" x14ac:dyDescent="0.25">
      <c r="C348" s="642"/>
      <c r="D348" s="642"/>
      <c r="E348" s="642"/>
      <c r="F348" s="630">
        <v>1</v>
      </c>
      <c r="G348" s="631"/>
      <c r="H348" s="632"/>
      <c r="I348" s="633"/>
      <c r="J348" s="634"/>
    </row>
    <row r="349" spans="3:10" ht="30" customHeight="1" x14ac:dyDescent="0.25">
      <c r="C349" s="642"/>
      <c r="D349" s="642"/>
      <c r="E349" s="642"/>
      <c r="F349" s="630">
        <v>1</v>
      </c>
      <c r="G349" s="631"/>
      <c r="H349" s="632"/>
      <c r="I349" s="633"/>
      <c r="J349" s="634"/>
    </row>
    <row r="350" spans="3:10" ht="30" customHeight="1" x14ac:dyDescent="0.25">
      <c r="C350" s="642"/>
      <c r="D350" s="642"/>
      <c r="E350" s="642"/>
      <c r="F350" s="630">
        <v>1</v>
      </c>
      <c r="G350" s="631"/>
      <c r="H350" s="632"/>
      <c r="I350" s="633"/>
      <c r="J350" s="634"/>
    </row>
    <row r="351" spans="3:10" ht="30" customHeight="1" x14ac:dyDescent="0.25">
      <c r="C351" s="642"/>
      <c r="D351" s="642"/>
      <c r="E351" s="642"/>
      <c r="F351" s="630">
        <v>1</v>
      </c>
      <c r="G351" s="631"/>
      <c r="H351" s="632"/>
      <c r="I351" s="633"/>
      <c r="J351" s="634"/>
    </row>
    <row r="352" spans="3:10" ht="30" customHeight="1" x14ac:dyDescent="0.25">
      <c r="C352" s="642"/>
      <c r="D352" s="642"/>
      <c r="E352" s="642"/>
      <c r="F352" s="630">
        <v>1</v>
      </c>
      <c r="G352" s="631"/>
      <c r="H352" s="632"/>
      <c r="I352" s="633"/>
      <c r="J352" s="634"/>
    </row>
    <row r="353" spans="3:10" ht="30" customHeight="1" x14ac:dyDescent="0.25">
      <c r="C353" s="642"/>
      <c r="D353" s="642"/>
      <c r="E353" s="642"/>
      <c r="F353" s="630">
        <v>1</v>
      </c>
      <c r="G353" s="631"/>
      <c r="H353" s="632"/>
      <c r="I353" s="633"/>
      <c r="J353" s="634"/>
    </row>
    <row r="354" spans="3:10" ht="30" customHeight="1" x14ac:dyDescent="0.25">
      <c r="C354" s="642"/>
      <c r="D354" s="642"/>
      <c r="E354" s="642"/>
      <c r="F354" s="630">
        <v>1</v>
      </c>
      <c r="G354" s="631"/>
      <c r="H354" s="632"/>
      <c r="I354" s="633"/>
      <c r="J354" s="634"/>
    </row>
    <row r="355" spans="3:10" ht="30" customHeight="1" x14ac:dyDescent="0.25">
      <c r="C355" s="642"/>
      <c r="D355" s="642"/>
      <c r="E355" s="642"/>
      <c r="F355" s="630">
        <v>1</v>
      </c>
      <c r="G355" s="631"/>
      <c r="H355" s="632"/>
      <c r="I355" s="633"/>
      <c r="J355" s="634"/>
    </row>
    <row r="356" spans="3:10" ht="30" customHeight="1" x14ac:dyDescent="0.25">
      <c r="C356" s="642"/>
      <c r="D356" s="642"/>
      <c r="E356" s="642"/>
      <c r="F356" s="630">
        <v>1</v>
      </c>
      <c r="G356" s="631"/>
      <c r="H356" s="632"/>
      <c r="I356" s="633"/>
      <c r="J356" s="634"/>
    </row>
    <row r="357" spans="3:10" ht="30" customHeight="1" x14ac:dyDescent="0.25">
      <c r="C357" s="642"/>
      <c r="D357" s="642"/>
      <c r="E357" s="642"/>
      <c r="F357" s="630">
        <v>1</v>
      </c>
      <c r="G357" s="631"/>
      <c r="H357" s="632"/>
      <c r="I357" s="633"/>
      <c r="J357" s="634"/>
    </row>
    <row r="358" spans="3:10" ht="30" customHeight="1" x14ac:dyDescent="0.25">
      <c r="C358" s="642"/>
      <c r="D358" s="642"/>
      <c r="E358" s="642"/>
      <c r="F358" s="630">
        <v>1</v>
      </c>
      <c r="G358" s="631"/>
      <c r="H358" s="632"/>
      <c r="I358" s="633"/>
      <c r="J358" s="634"/>
    </row>
    <row r="359" spans="3:10" ht="30" customHeight="1" x14ac:dyDescent="0.25">
      <c r="C359" s="642"/>
      <c r="D359" s="642"/>
      <c r="E359" s="642"/>
      <c r="F359" s="630">
        <v>1</v>
      </c>
      <c r="G359" s="631"/>
      <c r="H359" s="632"/>
      <c r="I359" s="633"/>
      <c r="J359" s="634"/>
    </row>
    <row r="360" spans="3:10" ht="30" customHeight="1" x14ac:dyDescent="0.25">
      <c r="C360" s="642"/>
      <c r="D360" s="642"/>
      <c r="E360" s="642"/>
      <c r="F360" s="630">
        <v>1</v>
      </c>
      <c r="G360" s="631"/>
      <c r="H360" s="632"/>
      <c r="I360" s="633"/>
      <c r="J360" s="634"/>
    </row>
    <row r="361" spans="3:10" ht="30" customHeight="1" x14ac:dyDescent="0.25">
      <c r="C361" s="642"/>
      <c r="D361" s="642"/>
      <c r="E361" s="642"/>
      <c r="F361" s="630">
        <v>1</v>
      </c>
      <c r="G361" s="631"/>
      <c r="H361" s="632"/>
      <c r="I361" s="633"/>
      <c r="J361" s="634"/>
    </row>
    <row r="362" spans="3:10" ht="30" customHeight="1" x14ac:dyDescent="0.25">
      <c r="C362" s="642"/>
      <c r="D362" s="642"/>
      <c r="E362" s="642"/>
      <c r="F362" s="630">
        <v>1</v>
      </c>
      <c r="G362" s="631"/>
      <c r="H362" s="632"/>
      <c r="I362" s="633"/>
      <c r="J362" s="634"/>
    </row>
    <row r="363" spans="3:10" ht="30" customHeight="1" x14ac:dyDescent="0.25">
      <c r="C363" s="642"/>
      <c r="D363" s="642"/>
      <c r="E363" s="642"/>
      <c r="F363" s="630">
        <v>1</v>
      </c>
      <c r="G363" s="631"/>
      <c r="H363" s="632"/>
      <c r="I363" s="633"/>
      <c r="J363" s="634"/>
    </row>
    <row r="364" spans="3:10" ht="30" customHeight="1" x14ac:dyDescent="0.25">
      <c r="C364" s="642"/>
      <c r="D364" s="642"/>
      <c r="E364" s="642"/>
      <c r="F364" s="630">
        <v>1</v>
      </c>
      <c r="G364" s="631"/>
      <c r="H364" s="632"/>
      <c r="I364" s="633"/>
      <c r="J364" s="634"/>
    </row>
    <row r="365" spans="3:10" ht="30" customHeight="1" x14ac:dyDescent="0.25">
      <c r="C365" s="642"/>
      <c r="D365" s="642"/>
      <c r="E365" s="642"/>
      <c r="F365" s="630">
        <v>1</v>
      </c>
      <c r="G365" s="631"/>
      <c r="H365" s="632"/>
      <c r="I365" s="633"/>
      <c r="J365" s="634"/>
    </row>
    <row r="366" spans="3:10" ht="30" customHeight="1" x14ac:dyDescent="0.25">
      <c r="C366" s="642"/>
      <c r="D366" s="642"/>
      <c r="E366" s="642"/>
      <c r="F366" s="630">
        <v>1</v>
      </c>
      <c r="G366" s="631"/>
      <c r="H366" s="632"/>
      <c r="I366" s="633"/>
      <c r="J366" s="634"/>
    </row>
    <row r="367" spans="3:10" ht="30" customHeight="1" x14ac:dyDescent="0.25">
      <c r="C367" s="642"/>
      <c r="D367" s="642"/>
      <c r="E367" s="642"/>
      <c r="F367" s="630">
        <v>1</v>
      </c>
      <c r="G367" s="631"/>
      <c r="H367" s="632"/>
      <c r="I367" s="633"/>
      <c r="J367" s="634"/>
    </row>
    <row r="368" spans="3:10" ht="30" customHeight="1" x14ac:dyDescent="0.25">
      <c r="C368" s="642"/>
      <c r="D368" s="642"/>
      <c r="E368" s="642"/>
      <c r="F368" s="630">
        <v>1</v>
      </c>
      <c r="G368" s="631"/>
      <c r="H368" s="632"/>
      <c r="I368" s="633"/>
      <c r="J368" s="634"/>
    </row>
    <row r="369" spans="3:10" ht="30" customHeight="1" x14ac:dyDescent="0.25">
      <c r="C369" s="642"/>
      <c r="D369" s="642"/>
      <c r="E369" s="642"/>
      <c r="F369" s="630">
        <v>1</v>
      </c>
      <c r="G369" s="631"/>
      <c r="H369" s="632"/>
      <c r="I369" s="633"/>
      <c r="J369" s="634"/>
    </row>
    <row r="370" spans="3:10" ht="30" customHeight="1" x14ac:dyDescent="0.25">
      <c r="C370" s="642"/>
      <c r="D370" s="642"/>
      <c r="E370" s="642"/>
      <c r="F370" s="630">
        <v>1</v>
      </c>
      <c r="G370" s="631"/>
      <c r="H370" s="632"/>
      <c r="I370" s="633"/>
      <c r="J370" s="634"/>
    </row>
    <row r="371" spans="3:10" ht="30" customHeight="1" x14ac:dyDescent="0.25">
      <c r="C371" s="642"/>
      <c r="D371" s="642"/>
      <c r="E371" s="642"/>
      <c r="F371" s="630">
        <v>1</v>
      </c>
      <c r="G371" s="631"/>
      <c r="H371" s="632"/>
      <c r="I371" s="633"/>
      <c r="J371" s="634"/>
    </row>
    <row r="372" spans="3:10" ht="30" customHeight="1" x14ac:dyDescent="0.25">
      <c r="C372" s="642"/>
      <c r="D372" s="642"/>
      <c r="E372" s="642"/>
      <c r="F372" s="630">
        <v>1</v>
      </c>
      <c r="G372" s="631"/>
      <c r="H372" s="632"/>
      <c r="I372" s="633"/>
      <c r="J372" s="634"/>
    </row>
    <row r="373" spans="3:10" ht="30" customHeight="1" x14ac:dyDescent="0.25">
      <c r="C373" s="642"/>
      <c r="D373" s="642"/>
      <c r="E373" s="642"/>
      <c r="F373" s="630">
        <v>1</v>
      </c>
      <c r="G373" s="631"/>
      <c r="H373" s="632"/>
      <c r="I373" s="633"/>
      <c r="J373" s="634"/>
    </row>
    <row r="374" spans="3:10" ht="30" customHeight="1" x14ac:dyDescent="0.25">
      <c r="C374" s="642"/>
      <c r="D374" s="642"/>
      <c r="E374" s="642"/>
      <c r="F374" s="630">
        <v>1</v>
      </c>
      <c r="G374" s="631"/>
      <c r="H374" s="632"/>
      <c r="I374" s="633"/>
      <c r="J374" s="634"/>
    </row>
    <row r="375" spans="3:10" ht="30" customHeight="1" x14ac:dyDescent="0.25">
      <c r="C375" s="642"/>
      <c r="D375" s="642"/>
      <c r="E375" s="642"/>
      <c r="F375" s="630">
        <v>1</v>
      </c>
      <c r="G375" s="631"/>
      <c r="H375" s="632"/>
      <c r="I375" s="633"/>
      <c r="J375" s="634"/>
    </row>
    <row r="376" spans="3:10" ht="30" customHeight="1" x14ac:dyDescent="0.25">
      <c r="C376" s="642"/>
      <c r="D376" s="642"/>
      <c r="E376" s="642"/>
      <c r="F376" s="630">
        <v>1</v>
      </c>
      <c r="G376" s="631"/>
      <c r="H376" s="632"/>
      <c r="I376" s="633"/>
      <c r="J376" s="634"/>
    </row>
    <row r="377" spans="3:10" ht="30" customHeight="1" x14ac:dyDescent="0.25">
      <c r="C377" s="642"/>
      <c r="D377" s="642"/>
      <c r="E377" s="642"/>
      <c r="F377" s="630">
        <v>1</v>
      </c>
      <c r="G377" s="631"/>
      <c r="H377" s="632"/>
      <c r="I377" s="633"/>
      <c r="J377" s="634"/>
    </row>
    <row r="378" spans="3:10" ht="30" customHeight="1" x14ac:dyDescent="0.25">
      <c r="C378" s="642"/>
      <c r="D378" s="642"/>
      <c r="E378" s="642"/>
      <c r="F378" s="630">
        <v>1</v>
      </c>
      <c r="G378" s="631"/>
      <c r="H378" s="632"/>
      <c r="I378" s="633"/>
      <c r="J378" s="634"/>
    </row>
    <row r="379" spans="3:10" ht="30" customHeight="1" x14ac:dyDescent="0.25">
      <c r="C379" s="642"/>
      <c r="D379" s="642"/>
      <c r="E379" s="642"/>
      <c r="F379" s="630">
        <v>1</v>
      </c>
      <c r="G379" s="631"/>
      <c r="H379" s="632"/>
      <c r="I379" s="633"/>
      <c r="J379" s="634"/>
    </row>
    <row r="380" spans="3:10" ht="30" customHeight="1" x14ac:dyDescent="0.25">
      <c r="C380" s="642"/>
      <c r="D380" s="642"/>
      <c r="E380" s="642"/>
      <c r="F380" s="630">
        <v>1</v>
      </c>
      <c r="G380" s="631"/>
      <c r="H380" s="632"/>
      <c r="I380" s="633"/>
      <c r="J380" s="634"/>
    </row>
    <row r="381" spans="3:10" ht="30" customHeight="1" x14ac:dyDescent="0.25">
      <c r="C381" s="642"/>
      <c r="D381" s="642"/>
      <c r="E381" s="642"/>
      <c r="F381" s="630">
        <v>1</v>
      </c>
      <c r="G381" s="631"/>
      <c r="H381" s="632"/>
      <c r="I381" s="633"/>
      <c r="J381" s="634"/>
    </row>
    <row r="382" spans="3:10" ht="30" customHeight="1" x14ac:dyDescent="0.25">
      <c r="C382" s="642"/>
      <c r="D382" s="642"/>
      <c r="E382" s="642"/>
      <c r="F382" s="630">
        <v>1</v>
      </c>
      <c r="G382" s="631"/>
      <c r="H382" s="632"/>
      <c r="I382" s="633"/>
      <c r="J382" s="634"/>
    </row>
    <row r="383" spans="3:10" ht="30" customHeight="1" x14ac:dyDescent="0.25">
      <c r="C383" s="642"/>
      <c r="D383" s="642"/>
      <c r="E383" s="642"/>
      <c r="F383" s="630">
        <v>1</v>
      </c>
      <c r="G383" s="631"/>
      <c r="H383" s="632"/>
      <c r="I383" s="633"/>
      <c r="J383" s="634"/>
    </row>
    <row r="384" spans="3:10" ht="30" customHeight="1" x14ac:dyDescent="0.25">
      <c r="C384" s="642"/>
      <c r="D384" s="642"/>
      <c r="E384" s="642"/>
      <c r="F384" s="630">
        <v>1</v>
      </c>
      <c r="G384" s="631"/>
      <c r="H384" s="632"/>
      <c r="I384" s="633"/>
      <c r="J384" s="634"/>
    </row>
    <row r="385" spans="3:10" ht="30" customHeight="1" x14ac:dyDescent="0.25">
      <c r="C385" s="642"/>
      <c r="D385" s="642"/>
      <c r="E385" s="642"/>
      <c r="F385" s="630">
        <v>1</v>
      </c>
      <c r="G385" s="631"/>
      <c r="H385" s="632"/>
      <c r="I385" s="633"/>
      <c r="J385" s="634"/>
    </row>
    <row r="386" spans="3:10" ht="30" customHeight="1" x14ac:dyDescent="0.25">
      <c r="C386" s="642"/>
      <c r="D386" s="642"/>
      <c r="E386" s="642"/>
      <c r="F386" s="630">
        <v>1</v>
      </c>
      <c r="G386" s="631"/>
      <c r="H386" s="632"/>
      <c r="I386" s="633"/>
      <c r="J386" s="634"/>
    </row>
    <row r="387" spans="3:10" ht="30" customHeight="1" x14ac:dyDescent="0.25">
      <c r="C387" s="642"/>
      <c r="D387" s="642"/>
      <c r="E387" s="642"/>
      <c r="F387" s="630">
        <v>1</v>
      </c>
      <c r="G387" s="631"/>
      <c r="H387" s="632"/>
      <c r="I387" s="633"/>
      <c r="J387" s="634"/>
    </row>
    <row r="388" spans="3:10" ht="30" customHeight="1" x14ac:dyDescent="0.25">
      <c r="C388" s="642"/>
      <c r="D388" s="642"/>
      <c r="E388" s="642"/>
      <c r="F388" s="630">
        <v>1</v>
      </c>
      <c r="G388" s="631"/>
      <c r="H388" s="632"/>
      <c r="I388" s="633"/>
      <c r="J388" s="634"/>
    </row>
    <row r="389" spans="3:10" ht="30" customHeight="1" x14ac:dyDescent="0.25">
      <c r="C389" s="642"/>
      <c r="D389" s="642"/>
      <c r="E389" s="642"/>
      <c r="F389" s="630">
        <v>1</v>
      </c>
      <c r="G389" s="631"/>
      <c r="H389" s="632"/>
      <c r="I389" s="633"/>
      <c r="J389" s="634"/>
    </row>
    <row r="390" spans="3:10" ht="30" customHeight="1" x14ac:dyDescent="0.25">
      <c r="C390" s="642"/>
      <c r="D390" s="642"/>
      <c r="E390" s="642"/>
      <c r="F390" s="630">
        <v>1</v>
      </c>
      <c r="G390" s="631"/>
      <c r="H390" s="632"/>
      <c r="I390" s="633"/>
      <c r="J390" s="634"/>
    </row>
    <row r="391" spans="3:10" ht="30" customHeight="1" x14ac:dyDescent="0.25">
      <c r="C391" s="642"/>
      <c r="D391" s="642"/>
      <c r="E391" s="642"/>
      <c r="F391" s="630">
        <v>1</v>
      </c>
      <c r="G391" s="631"/>
      <c r="H391" s="632"/>
      <c r="I391" s="633"/>
      <c r="J391" s="634"/>
    </row>
    <row r="392" spans="3:10" ht="30" customHeight="1" x14ac:dyDescent="0.25">
      <c r="C392" s="642"/>
      <c r="D392" s="642"/>
      <c r="E392" s="642"/>
      <c r="F392" s="630">
        <v>1</v>
      </c>
      <c r="G392" s="631"/>
      <c r="H392" s="632"/>
      <c r="I392" s="633"/>
      <c r="J392" s="634"/>
    </row>
    <row r="393" spans="3:10" ht="30" customHeight="1" x14ac:dyDescent="0.25">
      <c r="C393" s="642"/>
      <c r="D393" s="642"/>
      <c r="E393" s="642"/>
      <c r="F393" s="630">
        <v>1</v>
      </c>
      <c r="G393" s="631"/>
      <c r="H393" s="632"/>
      <c r="I393" s="633"/>
      <c r="J393" s="634"/>
    </row>
    <row r="394" spans="3:10" ht="30" customHeight="1" x14ac:dyDescent="0.25">
      <c r="C394" s="642"/>
      <c r="D394" s="642"/>
      <c r="E394" s="642"/>
      <c r="F394" s="630">
        <v>1</v>
      </c>
      <c r="G394" s="631"/>
      <c r="H394" s="632"/>
      <c r="I394" s="633"/>
      <c r="J394" s="634"/>
    </row>
    <row r="395" spans="3:10" ht="30" customHeight="1" x14ac:dyDescent="0.25">
      <c r="C395" s="642"/>
      <c r="D395" s="642"/>
      <c r="E395" s="642"/>
      <c r="F395" s="630">
        <v>1</v>
      </c>
      <c r="G395" s="631"/>
      <c r="H395" s="632"/>
      <c r="I395" s="633"/>
      <c r="J395" s="634"/>
    </row>
    <row r="396" spans="3:10" ht="30" customHeight="1" x14ac:dyDescent="0.25">
      <c r="C396" s="642"/>
      <c r="D396" s="642"/>
      <c r="E396" s="642"/>
      <c r="F396" s="630">
        <v>1</v>
      </c>
      <c r="G396" s="631"/>
      <c r="H396" s="632"/>
      <c r="I396" s="633"/>
      <c r="J396" s="634"/>
    </row>
    <row r="397" spans="3:10" ht="30" customHeight="1" x14ac:dyDescent="0.25">
      <c r="C397" s="642"/>
      <c r="D397" s="642"/>
      <c r="E397" s="642"/>
      <c r="F397" s="630">
        <v>1</v>
      </c>
      <c r="G397" s="631"/>
      <c r="H397" s="632"/>
      <c r="I397" s="633"/>
      <c r="J397" s="634"/>
    </row>
    <row r="398" spans="3:10" ht="30" customHeight="1" x14ac:dyDescent="0.25">
      <c r="C398" s="642"/>
      <c r="D398" s="642"/>
      <c r="E398" s="642"/>
      <c r="F398" s="630">
        <v>1</v>
      </c>
      <c r="G398" s="631"/>
      <c r="H398" s="632"/>
      <c r="I398" s="633"/>
      <c r="J398" s="634"/>
    </row>
    <row r="399" spans="3:10" ht="30" customHeight="1" x14ac:dyDescent="0.25">
      <c r="C399" s="642"/>
      <c r="D399" s="642"/>
      <c r="E399" s="642"/>
      <c r="F399" s="630">
        <v>1</v>
      </c>
      <c r="G399" s="631"/>
      <c r="H399" s="632"/>
      <c r="I399" s="633"/>
      <c r="J399" s="634"/>
    </row>
    <row r="400" spans="3:10" ht="30" customHeight="1" x14ac:dyDescent="0.25">
      <c r="C400" s="642"/>
      <c r="D400" s="642"/>
      <c r="E400" s="642"/>
      <c r="F400" s="630">
        <v>1</v>
      </c>
      <c r="G400" s="631"/>
      <c r="H400" s="632"/>
      <c r="I400" s="633"/>
      <c r="J400" s="634"/>
    </row>
    <row r="401" spans="3:10" ht="30" customHeight="1" x14ac:dyDescent="0.25">
      <c r="C401" s="642"/>
      <c r="D401" s="642"/>
      <c r="E401" s="642"/>
      <c r="F401" s="630">
        <v>1</v>
      </c>
      <c r="G401" s="631"/>
      <c r="H401" s="632"/>
      <c r="I401" s="633"/>
      <c r="J401" s="634"/>
    </row>
    <row r="402" spans="3:10" ht="30" customHeight="1" x14ac:dyDescent="0.25">
      <c r="C402" s="642"/>
      <c r="D402" s="642"/>
      <c r="E402" s="642"/>
      <c r="F402" s="630">
        <v>1</v>
      </c>
      <c r="G402" s="631"/>
      <c r="H402" s="632"/>
      <c r="I402" s="633"/>
      <c r="J402" s="634"/>
    </row>
    <row r="403" spans="3:10" ht="30" customHeight="1" x14ac:dyDescent="0.25">
      <c r="C403" s="642"/>
      <c r="D403" s="642"/>
      <c r="E403" s="642"/>
      <c r="F403" s="630">
        <v>1</v>
      </c>
      <c r="G403" s="631"/>
      <c r="H403" s="632"/>
      <c r="I403" s="633"/>
      <c r="J403" s="634"/>
    </row>
    <row r="404" spans="3:10" ht="30" customHeight="1" x14ac:dyDescent="0.25">
      <c r="C404" s="642"/>
      <c r="D404" s="642"/>
      <c r="E404" s="642"/>
      <c r="F404" s="630">
        <v>1</v>
      </c>
      <c r="G404" s="631"/>
      <c r="H404" s="632"/>
      <c r="I404" s="633"/>
      <c r="J404" s="634"/>
    </row>
    <row r="405" spans="3:10" ht="30" customHeight="1" x14ac:dyDescent="0.25">
      <c r="C405" s="642"/>
      <c r="D405" s="642"/>
      <c r="E405" s="642"/>
      <c r="F405" s="630">
        <v>1</v>
      </c>
      <c r="G405" s="631"/>
      <c r="H405" s="632"/>
      <c r="I405" s="633"/>
      <c r="J405" s="634"/>
    </row>
    <row r="406" spans="3:10" ht="30" customHeight="1" x14ac:dyDescent="0.25">
      <c r="C406" s="642"/>
      <c r="D406" s="642"/>
      <c r="E406" s="642"/>
      <c r="F406" s="630">
        <v>1</v>
      </c>
      <c r="G406" s="631"/>
      <c r="H406" s="632"/>
      <c r="I406" s="633"/>
      <c r="J406" s="634"/>
    </row>
    <row r="407" spans="3:10" ht="30" customHeight="1" x14ac:dyDescent="0.25">
      <c r="C407" s="642"/>
      <c r="D407" s="642"/>
      <c r="E407" s="642"/>
      <c r="F407" s="630">
        <v>1</v>
      </c>
      <c r="G407" s="631"/>
      <c r="H407" s="632"/>
      <c r="I407" s="633"/>
      <c r="J407" s="634"/>
    </row>
    <row r="408" spans="3:10" ht="30" customHeight="1" x14ac:dyDescent="0.25">
      <c r="C408" s="642"/>
      <c r="D408" s="642"/>
      <c r="E408" s="642"/>
      <c r="F408" s="630">
        <v>1</v>
      </c>
      <c r="G408" s="631"/>
      <c r="H408" s="632"/>
      <c r="I408" s="633"/>
      <c r="J408" s="634"/>
    </row>
    <row r="409" spans="3:10" ht="30" customHeight="1" x14ac:dyDescent="0.25">
      <c r="C409" s="642"/>
      <c r="D409" s="642"/>
      <c r="E409" s="642"/>
      <c r="F409" s="630">
        <v>1</v>
      </c>
      <c r="G409" s="631"/>
      <c r="H409" s="632"/>
      <c r="I409" s="633"/>
      <c r="J409" s="634"/>
    </row>
    <row r="410" spans="3:10" ht="30" customHeight="1" x14ac:dyDescent="0.25">
      <c r="C410" s="642"/>
      <c r="D410" s="642"/>
      <c r="E410" s="642"/>
      <c r="F410" s="630">
        <v>1</v>
      </c>
      <c r="G410" s="631"/>
      <c r="H410" s="632"/>
      <c r="I410" s="633"/>
      <c r="J410" s="634"/>
    </row>
    <row r="411" spans="3:10" ht="30" customHeight="1" x14ac:dyDescent="0.25">
      <c r="C411" s="642"/>
      <c r="D411" s="642"/>
      <c r="E411" s="642"/>
      <c r="F411" s="630">
        <v>1</v>
      </c>
      <c r="G411" s="631"/>
      <c r="H411" s="632"/>
      <c r="I411" s="633"/>
      <c r="J411" s="634"/>
    </row>
    <row r="412" spans="3:10" ht="30" customHeight="1" x14ac:dyDescent="0.25">
      <c r="C412" s="642"/>
      <c r="D412" s="642"/>
      <c r="E412" s="642"/>
      <c r="F412" s="630">
        <v>1</v>
      </c>
      <c r="G412" s="631"/>
      <c r="H412" s="632"/>
      <c r="I412" s="633"/>
      <c r="J412" s="634"/>
    </row>
    <row r="413" spans="3:10" ht="30" customHeight="1" x14ac:dyDescent="0.25">
      <c r="C413" s="642"/>
      <c r="D413" s="642"/>
      <c r="E413" s="642"/>
      <c r="F413" s="630">
        <v>1</v>
      </c>
      <c r="G413" s="631"/>
      <c r="H413" s="632"/>
      <c r="I413" s="633"/>
      <c r="J413" s="634"/>
    </row>
    <row r="414" spans="3:10" ht="30" customHeight="1" x14ac:dyDescent="0.25">
      <c r="C414" s="642"/>
      <c r="D414" s="642"/>
      <c r="E414" s="642"/>
      <c r="F414" s="630">
        <v>1</v>
      </c>
      <c r="G414" s="631"/>
      <c r="H414" s="632"/>
      <c r="I414" s="633"/>
      <c r="J414" s="634"/>
    </row>
    <row r="415" spans="3:10" ht="30" customHeight="1" x14ac:dyDescent="0.25">
      <c r="C415" s="642"/>
      <c r="D415" s="642"/>
      <c r="E415" s="642"/>
      <c r="F415" s="630">
        <v>1</v>
      </c>
      <c r="G415" s="631"/>
      <c r="H415" s="632"/>
      <c r="I415" s="633"/>
      <c r="J415" s="634"/>
    </row>
    <row r="416" spans="3:10" ht="30" customHeight="1" x14ac:dyDescent="0.25">
      <c r="C416" s="642"/>
      <c r="D416" s="642"/>
      <c r="E416" s="642"/>
      <c r="F416" s="630">
        <v>1</v>
      </c>
      <c r="G416" s="631"/>
      <c r="H416" s="632"/>
      <c r="I416" s="633"/>
      <c r="J416" s="634"/>
    </row>
    <row r="417" spans="3:10" ht="30" customHeight="1" x14ac:dyDescent="0.25">
      <c r="C417" s="642"/>
      <c r="D417" s="642"/>
      <c r="E417" s="642"/>
      <c r="F417" s="630">
        <v>1</v>
      </c>
      <c r="G417" s="631"/>
      <c r="H417" s="632"/>
      <c r="I417" s="633"/>
      <c r="J417" s="634"/>
    </row>
    <row r="418" spans="3:10" ht="30" customHeight="1" x14ac:dyDescent="0.25">
      <c r="C418" s="642"/>
      <c r="D418" s="642"/>
      <c r="E418" s="642"/>
      <c r="F418" s="630">
        <v>1</v>
      </c>
      <c r="G418" s="631"/>
      <c r="H418" s="632"/>
      <c r="I418" s="633"/>
      <c r="J418" s="634"/>
    </row>
    <row r="419" spans="3:10" ht="30" customHeight="1" x14ac:dyDescent="0.25">
      <c r="C419" s="642"/>
      <c r="D419" s="642"/>
      <c r="E419" s="642"/>
      <c r="F419" s="630">
        <v>1</v>
      </c>
      <c r="G419" s="631"/>
      <c r="H419" s="632"/>
      <c r="I419" s="633"/>
      <c r="J419" s="634"/>
    </row>
    <row r="420" spans="3:10" ht="30" customHeight="1" x14ac:dyDescent="0.25">
      <c r="C420" s="642"/>
      <c r="D420" s="642"/>
      <c r="E420" s="642"/>
      <c r="F420" s="630">
        <v>1</v>
      </c>
      <c r="G420" s="631"/>
      <c r="H420" s="632"/>
      <c r="I420" s="633"/>
      <c r="J420" s="634"/>
    </row>
    <row r="421" spans="3:10" ht="30" customHeight="1" x14ac:dyDescent="0.25">
      <c r="C421" s="642"/>
      <c r="D421" s="642"/>
      <c r="E421" s="642"/>
      <c r="F421" s="630">
        <v>1</v>
      </c>
      <c r="G421" s="631"/>
      <c r="H421" s="632"/>
      <c r="I421" s="633"/>
      <c r="J421" s="634"/>
    </row>
    <row r="422" spans="3:10" ht="30" customHeight="1" x14ac:dyDescent="0.25">
      <c r="C422" s="642"/>
      <c r="D422" s="642"/>
      <c r="E422" s="642"/>
      <c r="F422" s="630">
        <v>1</v>
      </c>
      <c r="G422" s="631"/>
      <c r="H422" s="632"/>
      <c r="I422" s="633"/>
      <c r="J422" s="634"/>
    </row>
    <row r="423" spans="3:10" ht="30" customHeight="1" x14ac:dyDescent="0.25">
      <c r="C423" s="642"/>
      <c r="D423" s="642"/>
      <c r="E423" s="642"/>
      <c r="F423" s="630">
        <v>1</v>
      </c>
      <c r="G423" s="631"/>
      <c r="H423" s="632"/>
      <c r="I423" s="633"/>
      <c r="J423" s="634"/>
    </row>
    <row r="424" spans="3:10" ht="30" customHeight="1" x14ac:dyDescent="0.25">
      <c r="C424" s="642"/>
      <c r="D424" s="642"/>
      <c r="E424" s="642"/>
      <c r="F424" s="630">
        <v>1</v>
      </c>
      <c r="G424" s="631"/>
      <c r="H424" s="632"/>
      <c r="I424" s="633"/>
      <c r="J424" s="634"/>
    </row>
    <row r="425" spans="3:10" ht="30" customHeight="1" x14ac:dyDescent="0.25">
      <c r="C425" s="642"/>
      <c r="D425" s="642"/>
      <c r="E425" s="642"/>
      <c r="F425" s="630">
        <v>1</v>
      </c>
      <c r="G425" s="631"/>
      <c r="H425" s="632"/>
      <c r="I425" s="633"/>
      <c r="J425" s="634"/>
    </row>
    <row r="426" spans="3:10" ht="30" customHeight="1" x14ac:dyDescent="0.25">
      <c r="C426" s="642"/>
      <c r="D426" s="642"/>
      <c r="E426" s="642"/>
      <c r="F426" s="630">
        <v>1</v>
      </c>
      <c r="G426" s="631"/>
      <c r="H426" s="632"/>
      <c r="I426" s="633"/>
      <c r="J426" s="634"/>
    </row>
    <row r="427" spans="3:10" ht="30" customHeight="1" x14ac:dyDescent="0.25">
      <c r="C427" s="642"/>
      <c r="D427" s="642"/>
      <c r="E427" s="642"/>
      <c r="F427" s="630">
        <v>1</v>
      </c>
      <c r="G427" s="631"/>
      <c r="H427" s="632"/>
      <c r="I427" s="633"/>
      <c r="J427" s="634"/>
    </row>
    <row r="428" spans="3:10" ht="30" customHeight="1" x14ac:dyDescent="0.25">
      <c r="C428" s="642"/>
      <c r="D428" s="642"/>
      <c r="E428" s="642"/>
      <c r="F428" s="630">
        <v>1</v>
      </c>
      <c r="G428" s="631"/>
      <c r="H428" s="632"/>
      <c r="I428" s="633"/>
      <c r="J428" s="634"/>
    </row>
    <row r="429" spans="3:10" ht="30" customHeight="1" x14ac:dyDescent="0.25">
      <c r="C429" s="642"/>
      <c r="D429" s="642"/>
      <c r="E429" s="642"/>
      <c r="F429" s="630">
        <v>1</v>
      </c>
      <c r="G429" s="631"/>
      <c r="H429" s="632"/>
      <c r="I429" s="633"/>
      <c r="J429" s="634"/>
    </row>
    <row r="430" spans="3:10" ht="30" customHeight="1" x14ac:dyDescent="0.25">
      <c r="C430" s="642"/>
      <c r="D430" s="642"/>
      <c r="E430" s="642"/>
      <c r="F430" s="630">
        <v>1</v>
      </c>
      <c r="G430" s="631"/>
      <c r="H430" s="632"/>
      <c r="I430" s="633"/>
      <c r="J430" s="634"/>
    </row>
    <row r="431" spans="3:10" ht="30" customHeight="1" x14ac:dyDescent="0.25">
      <c r="C431" s="642"/>
      <c r="D431" s="642"/>
      <c r="E431" s="642"/>
      <c r="F431" s="630">
        <v>1</v>
      </c>
      <c r="G431" s="631"/>
      <c r="H431" s="632"/>
      <c r="I431" s="633"/>
      <c r="J431" s="634"/>
    </row>
    <row r="432" spans="3:10" ht="30" customHeight="1" x14ac:dyDescent="0.25">
      <c r="C432" s="642"/>
      <c r="D432" s="642"/>
      <c r="E432" s="642"/>
      <c r="F432" s="630">
        <v>1</v>
      </c>
      <c r="G432" s="631"/>
      <c r="H432" s="632"/>
      <c r="I432" s="633"/>
      <c r="J432" s="634"/>
    </row>
    <row r="433" spans="3:10" ht="30" customHeight="1" x14ac:dyDescent="0.25">
      <c r="C433" s="642"/>
      <c r="D433" s="642"/>
      <c r="E433" s="642"/>
      <c r="F433" s="630">
        <v>1</v>
      </c>
      <c r="G433" s="631"/>
      <c r="H433" s="632"/>
      <c r="I433" s="633"/>
      <c r="J433" s="634"/>
    </row>
    <row r="434" spans="3:10" ht="30" customHeight="1" x14ac:dyDescent="0.25">
      <c r="C434" s="642"/>
      <c r="D434" s="642"/>
      <c r="E434" s="642"/>
      <c r="F434" s="630">
        <v>1</v>
      </c>
      <c r="G434" s="631"/>
      <c r="H434" s="632"/>
      <c r="I434" s="633"/>
      <c r="J434" s="634"/>
    </row>
    <row r="435" spans="3:10" ht="30" customHeight="1" x14ac:dyDescent="0.25">
      <c r="C435" s="642"/>
      <c r="D435" s="642"/>
      <c r="E435" s="642"/>
      <c r="F435" s="630">
        <v>1</v>
      </c>
      <c r="G435" s="631"/>
      <c r="H435" s="632"/>
      <c r="I435" s="633"/>
      <c r="J435" s="634"/>
    </row>
    <row r="436" spans="3:10" ht="30" customHeight="1" x14ac:dyDescent="0.25">
      <c r="C436" s="642"/>
      <c r="D436" s="642"/>
      <c r="E436" s="642"/>
      <c r="F436" s="630">
        <v>1</v>
      </c>
      <c r="G436" s="631"/>
      <c r="H436" s="632"/>
      <c r="I436" s="633"/>
      <c r="J436" s="634"/>
    </row>
    <row r="437" spans="3:10" ht="30" customHeight="1" x14ac:dyDescent="0.25">
      <c r="C437" s="642"/>
      <c r="D437" s="642"/>
      <c r="E437" s="642"/>
      <c r="F437" s="630">
        <v>1</v>
      </c>
      <c r="G437" s="631"/>
      <c r="H437" s="632"/>
      <c r="I437" s="633"/>
      <c r="J437" s="634"/>
    </row>
    <row r="438" spans="3:10" ht="30" customHeight="1" x14ac:dyDescent="0.25">
      <c r="C438" s="642"/>
      <c r="D438" s="642"/>
      <c r="E438" s="642"/>
      <c r="F438" s="630">
        <v>1</v>
      </c>
      <c r="G438" s="631"/>
      <c r="H438" s="632"/>
      <c r="I438" s="633"/>
      <c r="J438" s="634"/>
    </row>
    <row r="439" spans="3:10" ht="30" customHeight="1" x14ac:dyDescent="0.25">
      <c r="C439" s="642"/>
      <c r="D439" s="642"/>
      <c r="E439" s="642"/>
      <c r="F439" s="630">
        <v>1</v>
      </c>
      <c r="G439" s="631"/>
      <c r="H439" s="632"/>
      <c r="I439" s="633"/>
      <c r="J439" s="634"/>
    </row>
    <row r="440" spans="3:10" ht="30" customHeight="1" x14ac:dyDescent="0.25">
      <c r="C440" s="642"/>
      <c r="D440" s="642"/>
      <c r="E440" s="642"/>
      <c r="F440" s="630">
        <v>1</v>
      </c>
      <c r="G440" s="631"/>
      <c r="H440" s="632"/>
      <c r="I440" s="633"/>
      <c r="J440" s="634"/>
    </row>
    <row r="441" spans="3:10" ht="30" customHeight="1" x14ac:dyDescent="0.25">
      <c r="C441" s="642"/>
      <c r="D441" s="642"/>
      <c r="E441" s="642"/>
      <c r="F441" s="630">
        <v>1</v>
      </c>
      <c r="G441" s="631"/>
      <c r="H441" s="632"/>
      <c r="I441" s="633"/>
      <c r="J441" s="634"/>
    </row>
    <row r="442" spans="3:10" ht="30" customHeight="1" x14ac:dyDescent="0.25">
      <c r="C442" s="642"/>
      <c r="D442" s="642"/>
      <c r="E442" s="642"/>
      <c r="F442" s="630">
        <v>1</v>
      </c>
      <c r="G442" s="631"/>
      <c r="H442" s="632"/>
      <c r="I442" s="633"/>
      <c r="J442" s="634"/>
    </row>
    <row r="443" spans="3:10" ht="30" customHeight="1" x14ac:dyDescent="0.25">
      <c r="C443" s="642"/>
      <c r="D443" s="642"/>
      <c r="E443" s="642"/>
      <c r="F443" s="630">
        <v>1</v>
      </c>
      <c r="G443" s="631"/>
      <c r="H443" s="632"/>
      <c r="I443" s="633"/>
      <c r="J443" s="634"/>
    </row>
    <row r="444" spans="3:10" ht="30" customHeight="1" x14ac:dyDescent="0.25">
      <c r="C444" s="642"/>
      <c r="D444" s="642"/>
      <c r="E444" s="642"/>
      <c r="F444" s="630">
        <v>1</v>
      </c>
      <c r="G444" s="631"/>
      <c r="H444" s="632"/>
      <c r="I444" s="633"/>
      <c r="J444" s="634"/>
    </row>
    <row r="445" spans="3:10" ht="30" customHeight="1" x14ac:dyDescent="0.25">
      <c r="C445" s="642"/>
      <c r="D445" s="642"/>
      <c r="E445" s="642"/>
      <c r="F445" s="630">
        <v>1</v>
      </c>
      <c r="G445" s="631"/>
      <c r="H445" s="632"/>
      <c r="I445" s="633"/>
      <c r="J445" s="634"/>
    </row>
    <row r="446" spans="3:10" ht="30" customHeight="1" x14ac:dyDescent="0.25">
      <c r="C446" s="642"/>
      <c r="D446" s="642"/>
      <c r="E446" s="642"/>
      <c r="F446" s="630">
        <v>1</v>
      </c>
      <c r="G446" s="631"/>
      <c r="H446" s="632"/>
      <c r="I446" s="633"/>
      <c r="J446" s="634"/>
    </row>
    <row r="447" spans="3:10" ht="30" customHeight="1" x14ac:dyDescent="0.25">
      <c r="C447" s="642"/>
      <c r="D447" s="642"/>
      <c r="E447" s="642"/>
      <c r="F447" s="630">
        <v>1</v>
      </c>
      <c r="G447" s="631"/>
      <c r="H447" s="632"/>
      <c r="I447" s="633"/>
      <c r="J447" s="634"/>
    </row>
    <row r="448" spans="3:10" ht="30" customHeight="1" x14ac:dyDescent="0.25">
      <c r="C448" s="642"/>
      <c r="D448" s="642"/>
      <c r="E448" s="642"/>
      <c r="F448" s="630">
        <v>1</v>
      </c>
      <c r="G448" s="631"/>
      <c r="H448" s="632"/>
      <c r="I448" s="633"/>
      <c r="J448" s="634"/>
    </row>
    <row r="449" spans="3:10" ht="30" customHeight="1" x14ac:dyDescent="0.25">
      <c r="C449" s="642"/>
      <c r="D449" s="642"/>
      <c r="E449" s="642"/>
      <c r="F449" s="630">
        <v>1</v>
      </c>
      <c r="G449" s="631"/>
      <c r="H449" s="632"/>
      <c r="I449" s="633"/>
      <c r="J449" s="634"/>
    </row>
    <row r="450" spans="3:10" ht="30" customHeight="1" x14ac:dyDescent="0.25">
      <c r="C450" s="642"/>
      <c r="D450" s="642"/>
      <c r="E450" s="642"/>
      <c r="F450" s="630">
        <v>1</v>
      </c>
      <c r="G450" s="631"/>
      <c r="H450" s="632"/>
      <c r="I450" s="633"/>
      <c r="J450" s="634"/>
    </row>
    <row r="451" spans="3:10" ht="30" customHeight="1" x14ac:dyDescent="0.25">
      <c r="C451" s="642"/>
      <c r="D451" s="642"/>
      <c r="E451" s="642"/>
      <c r="F451" s="630">
        <v>1</v>
      </c>
      <c r="G451" s="631"/>
      <c r="H451" s="632"/>
      <c r="I451" s="633"/>
      <c r="J451" s="634"/>
    </row>
    <row r="452" spans="3:10" ht="30" customHeight="1" x14ac:dyDescent="0.25">
      <c r="C452" s="642"/>
      <c r="D452" s="642"/>
      <c r="E452" s="642"/>
      <c r="F452" s="630">
        <v>1</v>
      </c>
      <c r="G452" s="631"/>
      <c r="H452" s="632"/>
      <c r="I452" s="633"/>
      <c r="J452" s="634"/>
    </row>
    <row r="453" spans="3:10" ht="30" customHeight="1" x14ac:dyDescent="0.25">
      <c r="C453" s="642"/>
      <c r="D453" s="642"/>
      <c r="E453" s="642"/>
      <c r="F453" s="630">
        <v>1</v>
      </c>
      <c r="G453" s="631"/>
      <c r="H453" s="632"/>
      <c r="I453" s="633"/>
      <c r="J453" s="634"/>
    </row>
    <row r="454" spans="3:10" ht="30" customHeight="1" x14ac:dyDescent="0.25">
      <c r="C454" s="642"/>
      <c r="D454" s="642"/>
      <c r="E454" s="642"/>
      <c r="F454" s="630">
        <v>1</v>
      </c>
      <c r="G454" s="631"/>
      <c r="H454" s="632"/>
      <c r="I454" s="633"/>
      <c r="J454" s="634"/>
    </row>
    <row r="455" spans="3:10" ht="30" customHeight="1" x14ac:dyDescent="0.25">
      <c r="C455" s="642"/>
      <c r="D455" s="642"/>
      <c r="E455" s="642"/>
      <c r="F455" s="630">
        <v>1</v>
      </c>
      <c r="G455" s="631"/>
      <c r="H455" s="632"/>
      <c r="I455" s="633"/>
      <c r="J455" s="634"/>
    </row>
    <row r="456" spans="3:10" ht="30" customHeight="1" x14ac:dyDescent="0.25">
      <c r="C456" s="642"/>
      <c r="D456" s="642"/>
      <c r="E456" s="642"/>
      <c r="F456" s="630">
        <v>1</v>
      </c>
      <c r="G456" s="631"/>
      <c r="H456" s="632"/>
      <c r="I456" s="633"/>
      <c r="J456" s="634"/>
    </row>
    <row r="457" spans="3:10" ht="30" customHeight="1" x14ac:dyDescent="0.25">
      <c r="C457" s="642"/>
      <c r="D457" s="642"/>
      <c r="E457" s="642"/>
      <c r="F457" s="630">
        <v>1</v>
      </c>
      <c r="G457" s="631"/>
      <c r="H457" s="632"/>
      <c r="I457" s="633"/>
      <c r="J457" s="634"/>
    </row>
    <row r="458" spans="3:10" ht="30" customHeight="1" x14ac:dyDescent="0.25">
      <c r="C458" s="642"/>
      <c r="D458" s="642"/>
      <c r="E458" s="642"/>
      <c r="F458" s="630">
        <v>1</v>
      </c>
      <c r="G458" s="631"/>
      <c r="H458" s="632"/>
      <c r="I458" s="633"/>
      <c r="J458" s="634"/>
    </row>
    <row r="459" spans="3:10" ht="30" customHeight="1" x14ac:dyDescent="0.25">
      <c r="C459" s="642"/>
      <c r="D459" s="642"/>
      <c r="E459" s="642"/>
      <c r="F459" s="630">
        <v>1</v>
      </c>
      <c r="G459" s="631"/>
      <c r="H459" s="632"/>
      <c r="I459" s="633"/>
      <c r="J459" s="634"/>
    </row>
    <row r="460" spans="3:10" ht="30" customHeight="1" x14ac:dyDescent="0.25">
      <c r="C460" s="642"/>
      <c r="D460" s="642"/>
      <c r="E460" s="642"/>
      <c r="F460" s="630">
        <v>1</v>
      </c>
      <c r="G460" s="631"/>
      <c r="H460" s="632"/>
      <c r="I460" s="633"/>
      <c r="J460" s="634"/>
    </row>
    <row r="461" spans="3:10" ht="30" customHeight="1" x14ac:dyDescent="0.25">
      <c r="C461" s="642"/>
      <c r="D461" s="642"/>
      <c r="E461" s="642"/>
      <c r="F461" s="630">
        <v>1</v>
      </c>
      <c r="G461" s="631"/>
      <c r="H461" s="632"/>
      <c r="I461" s="633"/>
      <c r="J461" s="634"/>
    </row>
    <row r="462" spans="3:10" ht="30" customHeight="1" x14ac:dyDescent="0.25">
      <c r="C462" s="642"/>
      <c r="D462" s="642"/>
      <c r="E462" s="642"/>
      <c r="F462" s="630">
        <v>1</v>
      </c>
      <c r="G462" s="631"/>
      <c r="H462" s="632"/>
      <c r="I462" s="633"/>
      <c r="J462" s="634"/>
    </row>
    <row r="463" spans="3:10" ht="30" customHeight="1" x14ac:dyDescent="0.25">
      <c r="C463" s="642"/>
      <c r="D463" s="642"/>
      <c r="E463" s="642"/>
      <c r="F463" s="630">
        <v>1</v>
      </c>
      <c r="G463" s="631"/>
      <c r="H463" s="632"/>
      <c r="I463" s="633"/>
      <c r="J463" s="634"/>
    </row>
    <row r="464" spans="3:10" ht="30" customHeight="1" x14ac:dyDescent="0.25">
      <c r="C464" s="642"/>
      <c r="D464" s="642"/>
      <c r="E464" s="642"/>
      <c r="F464" s="630">
        <v>1</v>
      </c>
      <c r="G464" s="631"/>
      <c r="H464" s="632"/>
      <c r="I464" s="633"/>
      <c r="J464" s="634"/>
    </row>
    <row r="465" spans="3:10" ht="30" customHeight="1" x14ac:dyDescent="0.25">
      <c r="C465" s="642"/>
      <c r="D465" s="642"/>
      <c r="E465" s="642"/>
      <c r="F465" s="630">
        <v>1</v>
      </c>
      <c r="G465" s="631"/>
      <c r="H465" s="632"/>
      <c r="I465" s="633"/>
      <c r="J465" s="634"/>
    </row>
    <row r="466" spans="3:10" ht="30" customHeight="1" x14ac:dyDescent="0.25">
      <c r="C466" s="642"/>
      <c r="D466" s="642"/>
      <c r="E466" s="642"/>
      <c r="F466" s="630">
        <v>1</v>
      </c>
      <c r="G466" s="631"/>
      <c r="H466" s="632"/>
      <c r="I466" s="633"/>
      <c r="J466" s="634"/>
    </row>
    <row r="467" spans="3:10" ht="30" customHeight="1" x14ac:dyDescent="0.25">
      <c r="C467" s="642"/>
      <c r="D467" s="642"/>
      <c r="E467" s="642"/>
      <c r="F467" s="630">
        <v>1</v>
      </c>
      <c r="G467" s="631"/>
      <c r="H467" s="632"/>
      <c r="I467" s="633"/>
      <c r="J467" s="634"/>
    </row>
    <row r="468" spans="3:10" ht="30" customHeight="1" x14ac:dyDescent="0.25">
      <c r="C468" s="642"/>
      <c r="D468" s="642"/>
      <c r="E468" s="642"/>
      <c r="F468" s="630">
        <v>1</v>
      </c>
      <c r="G468" s="631"/>
      <c r="H468" s="632"/>
      <c r="I468" s="633"/>
      <c r="J468" s="634"/>
    </row>
    <row r="469" spans="3:10" ht="30" customHeight="1" x14ac:dyDescent="0.25">
      <c r="C469" s="642"/>
      <c r="D469" s="642"/>
      <c r="E469" s="642"/>
      <c r="F469" s="630">
        <v>1</v>
      </c>
      <c r="G469" s="631"/>
      <c r="H469" s="632"/>
      <c r="I469" s="633"/>
      <c r="J469" s="634"/>
    </row>
    <row r="470" spans="3:10" ht="30" customHeight="1" x14ac:dyDescent="0.25">
      <c r="C470" s="642"/>
      <c r="D470" s="642"/>
      <c r="E470" s="642"/>
      <c r="F470" s="630">
        <v>1</v>
      </c>
      <c r="G470" s="631"/>
      <c r="H470" s="632"/>
      <c r="I470" s="633"/>
      <c r="J470" s="634"/>
    </row>
    <row r="471" spans="3:10" ht="30" customHeight="1" x14ac:dyDescent="0.25">
      <c r="C471" s="642"/>
      <c r="D471" s="642"/>
      <c r="E471" s="642"/>
      <c r="F471" s="630">
        <v>1</v>
      </c>
      <c r="G471" s="631"/>
      <c r="H471" s="632"/>
      <c r="I471" s="633"/>
      <c r="J471" s="634"/>
    </row>
    <row r="472" spans="3:10" ht="30" customHeight="1" x14ac:dyDescent="0.25">
      <c r="C472" s="642"/>
      <c r="D472" s="642"/>
      <c r="E472" s="642"/>
      <c r="F472" s="630">
        <v>1</v>
      </c>
      <c r="G472" s="631"/>
      <c r="H472" s="632"/>
      <c r="I472" s="633"/>
      <c r="J472" s="634"/>
    </row>
    <row r="473" spans="3:10" ht="30" customHeight="1" x14ac:dyDescent="0.25">
      <c r="C473" s="642"/>
      <c r="D473" s="642"/>
      <c r="E473" s="642"/>
      <c r="F473" s="630">
        <v>1</v>
      </c>
      <c r="G473" s="631"/>
      <c r="H473" s="632"/>
      <c r="I473" s="633"/>
      <c r="J473" s="634"/>
    </row>
    <row r="474" spans="3:10" ht="30" customHeight="1" x14ac:dyDescent="0.25">
      <c r="C474" s="642"/>
      <c r="D474" s="642"/>
      <c r="E474" s="642"/>
      <c r="F474" s="630">
        <v>1</v>
      </c>
      <c r="G474" s="631"/>
      <c r="H474" s="632"/>
      <c r="I474" s="633"/>
      <c r="J474" s="634"/>
    </row>
    <row r="475" spans="3:10" ht="30" customHeight="1" x14ac:dyDescent="0.25">
      <c r="C475" s="642"/>
      <c r="D475" s="642"/>
      <c r="E475" s="642"/>
      <c r="F475" s="630">
        <v>1</v>
      </c>
      <c r="G475" s="631"/>
      <c r="H475" s="632"/>
      <c r="I475" s="633"/>
      <c r="J475" s="634"/>
    </row>
    <row r="476" spans="3:10" ht="30" customHeight="1" x14ac:dyDescent="0.25">
      <c r="C476" s="642"/>
      <c r="D476" s="642"/>
      <c r="E476" s="642"/>
      <c r="F476" s="630">
        <v>1</v>
      </c>
      <c r="G476" s="631"/>
      <c r="H476" s="632"/>
      <c r="I476" s="633"/>
      <c r="J476" s="634"/>
    </row>
    <row r="477" spans="3:10" ht="30" customHeight="1" x14ac:dyDescent="0.25">
      <c r="C477" s="642"/>
      <c r="D477" s="642"/>
      <c r="E477" s="642"/>
      <c r="F477" s="630">
        <v>1</v>
      </c>
      <c r="G477" s="631"/>
      <c r="H477" s="632"/>
      <c r="I477" s="633"/>
      <c r="J477" s="634"/>
    </row>
    <row r="478" spans="3:10" ht="30" customHeight="1" x14ac:dyDescent="0.25">
      <c r="C478" s="642"/>
      <c r="D478" s="642"/>
      <c r="E478" s="642"/>
      <c r="F478" s="630">
        <v>1</v>
      </c>
      <c r="G478" s="631"/>
      <c r="H478" s="632"/>
      <c r="I478" s="633"/>
      <c r="J478" s="634"/>
    </row>
    <row r="479" spans="3:10" ht="30" customHeight="1" x14ac:dyDescent="0.25">
      <c r="C479" s="642"/>
      <c r="D479" s="642"/>
      <c r="E479" s="642"/>
      <c r="F479" s="630">
        <v>1</v>
      </c>
      <c r="G479" s="631"/>
      <c r="H479" s="632"/>
      <c r="I479" s="633"/>
      <c r="J479" s="634"/>
    </row>
    <row r="480" spans="3:10" ht="30" customHeight="1" x14ac:dyDescent="0.25">
      <c r="C480" s="642"/>
      <c r="D480" s="642"/>
      <c r="E480" s="642"/>
      <c r="F480" s="630">
        <v>1</v>
      </c>
      <c r="G480" s="631"/>
      <c r="H480" s="632"/>
      <c r="I480" s="633"/>
      <c r="J480" s="634"/>
    </row>
    <row r="481" spans="3:10" ht="30" customHeight="1" x14ac:dyDescent="0.25">
      <c r="C481" s="642"/>
      <c r="D481" s="642"/>
      <c r="E481" s="642"/>
      <c r="F481" s="630">
        <v>1</v>
      </c>
      <c r="G481" s="631"/>
      <c r="H481" s="632"/>
      <c r="I481" s="633"/>
      <c r="J481" s="634"/>
    </row>
    <row r="482" spans="3:10" ht="30" customHeight="1" x14ac:dyDescent="0.25">
      <c r="C482" s="642"/>
      <c r="D482" s="642"/>
      <c r="E482" s="642"/>
      <c r="F482" s="630">
        <v>1</v>
      </c>
      <c r="G482" s="631"/>
      <c r="H482" s="632"/>
      <c r="I482" s="633"/>
      <c r="J482" s="634"/>
    </row>
    <row r="483" spans="3:10" ht="30" customHeight="1" x14ac:dyDescent="0.25">
      <c r="C483" s="642"/>
      <c r="D483" s="642"/>
      <c r="E483" s="642"/>
      <c r="F483" s="630">
        <v>1</v>
      </c>
      <c r="G483" s="631"/>
      <c r="H483" s="632"/>
      <c r="I483" s="633"/>
      <c r="J483" s="634"/>
    </row>
    <row r="484" spans="3:10" ht="30" customHeight="1" x14ac:dyDescent="0.25">
      <c r="C484" s="642"/>
      <c r="D484" s="642"/>
      <c r="E484" s="642"/>
      <c r="F484" s="630">
        <v>1</v>
      </c>
      <c r="G484" s="631"/>
      <c r="H484" s="632"/>
      <c r="I484" s="633"/>
      <c r="J484" s="634"/>
    </row>
    <row r="485" spans="3:10" ht="30" customHeight="1" x14ac:dyDescent="0.25">
      <c r="C485" s="642"/>
      <c r="D485" s="642"/>
      <c r="E485" s="642"/>
      <c r="F485" s="630">
        <v>1</v>
      </c>
      <c r="G485" s="631"/>
      <c r="H485" s="632"/>
      <c r="I485" s="633"/>
      <c r="J485" s="634"/>
    </row>
    <row r="486" spans="3:10" ht="30" customHeight="1" x14ac:dyDescent="0.25">
      <c r="C486" s="642"/>
      <c r="D486" s="642"/>
      <c r="E486" s="642"/>
      <c r="F486" s="630">
        <v>1</v>
      </c>
      <c r="G486" s="631"/>
      <c r="H486" s="632"/>
      <c r="I486" s="633"/>
      <c r="J486" s="634"/>
    </row>
    <row r="487" spans="3:10" ht="30" customHeight="1" x14ac:dyDescent="0.25">
      <c r="C487" s="642"/>
      <c r="D487" s="642"/>
      <c r="E487" s="642"/>
      <c r="F487" s="630">
        <v>1</v>
      </c>
      <c r="G487" s="631"/>
      <c r="H487" s="632"/>
      <c r="I487" s="633"/>
      <c r="J487" s="634"/>
    </row>
    <row r="488" spans="3:10" ht="30" customHeight="1" x14ac:dyDescent="0.25">
      <c r="C488" s="642"/>
      <c r="D488" s="642"/>
      <c r="E488" s="642"/>
      <c r="F488" s="630">
        <v>1</v>
      </c>
      <c r="G488" s="631"/>
      <c r="H488" s="632"/>
      <c r="I488" s="633"/>
      <c r="J488" s="634"/>
    </row>
    <row r="489" spans="3:10" ht="30" customHeight="1" x14ac:dyDescent="0.25">
      <c r="C489" s="642"/>
      <c r="D489" s="642"/>
      <c r="E489" s="642"/>
      <c r="F489" s="630">
        <v>1</v>
      </c>
      <c r="G489" s="631"/>
      <c r="H489" s="632"/>
      <c r="I489" s="633"/>
      <c r="J489" s="634"/>
    </row>
    <row r="490" spans="3:10" ht="30" customHeight="1" x14ac:dyDescent="0.25">
      <c r="C490" s="642"/>
      <c r="D490" s="642"/>
      <c r="E490" s="642"/>
      <c r="F490" s="630">
        <v>1</v>
      </c>
      <c r="G490" s="631"/>
      <c r="H490" s="632"/>
      <c r="I490" s="633"/>
      <c r="J490" s="634"/>
    </row>
    <row r="491" spans="3:10" ht="30" customHeight="1" x14ac:dyDescent="0.25">
      <c r="C491" s="642"/>
      <c r="D491" s="642"/>
      <c r="E491" s="642"/>
      <c r="F491" s="630">
        <v>1</v>
      </c>
      <c r="G491" s="631"/>
      <c r="H491" s="632"/>
      <c r="I491" s="633"/>
      <c r="J491" s="634"/>
    </row>
    <row r="492" spans="3:10" ht="30" customHeight="1" x14ac:dyDescent="0.25">
      <c r="C492" s="642"/>
      <c r="D492" s="642"/>
      <c r="E492" s="642"/>
      <c r="F492" s="630">
        <v>1</v>
      </c>
      <c r="G492" s="631"/>
      <c r="H492" s="632"/>
      <c r="I492" s="633"/>
      <c r="J492" s="634"/>
    </row>
    <row r="493" spans="3:10" ht="30" customHeight="1" x14ac:dyDescent="0.25">
      <c r="C493" s="642"/>
      <c r="D493" s="642"/>
      <c r="E493" s="642"/>
      <c r="F493" s="630">
        <v>1</v>
      </c>
      <c r="G493" s="631"/>
      <c r="H493" s="632"/>
      <c r="I493" s="633"/>
      <c r="J493" s="634"/>
    </row>
    <row r="494" spans="3:10" ht="30" customHeight="1" x14ac:dyDescent="0.25">
      <c r="C494" s="642"/>
      <c r="D494" s="642"/>
      <c r="E494" s="642"/>
      <c r="F494" s="630">
        <v>1</v>
      </c>
      <c r="G494" s="631"/>
      <c r="H494" s="632"/>
      <c r="I494" s="633"/>
      <c r="J494" s="634"/>
    </row>
    <row r="495" spans="3:10" ht="30" customHeight="1" x14ac:dyDescent="0.25">
      <c r="C495" s="642"/>
      <c r="D495" s="642"/>
      <c r="E495" s="642"/>
      <c r="F495" s="630">
        <v>1</v>
      </c>
      <c r="G495" s="631"/>
      <c r="H495" s="632"/>
      <c r="I495" s="633"/>
      <c r="J495" s="634"/>
    </row>
    <row r="496" spans="3:10" ht="30" customHeight="1" x14ac:dyDescent="0.25">
      <c r="C496" s="642"/>
      <c r="D496" s="642"/>
      <c r="E496" s="642"/>
      <c r="F496" s="630">
        <v>1</v>
      </c>
      <c r="G496" s="631"/>
      <c r="H496" s="632"/>
      <c r="I496" s="633"/>
      <c r="J496" s="634"/>
    </row>
    <row r="497" spans="3:10" ht="30" customHeight="1" x14ac:dyDescent="0.25">
      <c r="C497" s="642"/>
      <c r="D497" s="642"/>
      <c r="E497" s="642"/>
      <c r="F497" s="630">
        <v>1</v>
      </c>
      <c r="G497" s="631"/>
      <c r="H497" s="632"/>
      <c r="I497" s="633"/>
      <c r="J497" s="634"/>
    </row>
    <row r="498" spans="3:10" ht="30" customHeight="1" x14ac:dyDescent="0.25">
      <c r="C498" s="642"/>
      <c r="D498" s="642"/>
      <c r="E498" s="642"/>
      <c r="F498" s="630">
        <v>1</v>
      </c>
      <c r="G498" s="631"/>
      <c r="H498" s="632"/>
      <c r="I498" s="633"/>
      <c r="J498" s="634"/>
    </row>
    <row r="499" spans="3:10" ht="30" customHeight="1" x14ac:dyDescent="0.25">
      <c r="C499" s="642"/>
      <c r="D499" s="642"/>
      <c r="E499" s="642"/>
      <c r="F499" s="630">
        <v>1</v>
      </c>
      <c r="G499" s="631"/>
      <c r="H499" s="632"/>
      <c r="I499" s="633"/>
      <c r="J499" s="634"/>
    </row>
    <row r="500" spans="3:10" ht="30" customHeight="1" x14ac:dyDescent="0.25">
      <c r="C500" s="642"/>
      <c r="D500" s="642"/>
      <c r="E500" s="642"/>
      <c r="F500" s="630">
        <v>1</v>
      </c>
      <c r="G500" s="631"/>
      <c r="H500" s="632"/>
      <c r="I500" s="633"/>
      <c r="J500" s="634"/>
    </row>
    <row r="501" spans="3:10" ht="30" customHeight="1" x14ac:dyDescent="0.25">
      <c r="C501" s="642"/>
      <c r="D501" s="642"/>
      <c r="E501" s="642"/>
      <c r="F501" s="630">
        <v>1</v>
      </c>
      <c r="G501" s="631"/>
      <c r="H501" s="632"/>
      <c r="I501" s="633"/>
      <c r="J501" s="634"/>
    </row>
    <row r="502" spans="3:10" ht="30" customHeight="1" x14ac:dyDescent="0.25">
      <c r="C502" s="642"/>
      <c r="D502" s="642"/>
      <c r="E502" s="642"/>
      <c r="F502" s="630">
        <v>1</v>
      </c>
      <c r="G502" s="631"/>
      <c r="H502" s="632"/>
      <c r="I502" s="633"/>
      <c r="J502" s="634"/>
    </row>
    <row r="503" spans="3:10" ht="30" customHeight="1" x14ac:dyDescent="0.25">
      <c r="C503" s="642"/>
      <c r="D503" s="642"/>
      <c r="E503" s="642"/>
      <c r="F503" s="630">
        <v>1</v>
      </c>
      <c r="G503" s="631"/>
      <c r="H503" s="632"/>
      <c r="I503" s="633"/>
      <c r="J503" s="634"/>
    </row>
    <row r="504" spans="3:10" ht="30" customHeight="1" x14ac:dyDescent="0.25">
      <c r="C504" s="642"/>
      <c r="D504" s="642"/>
      <c r="E504" s="642"/>
      <c r="F504" s="630">
        <v>1</v>
      </c>
      <c r="G504" s="631"/>
      <c r="H504" s="632"/>
      <c r="I504" s="633"/>
      <c r="J504" s="634"/>
    </row>
    <row r="505" spans="3:10" ht="30" customHeight="1" x14ac:dyDescent="0.25">
      <c r="C505" s="642"/>
      <c r="D505" s="642"/>
      <c r="E505" s="642"/>
      <c r="F505" s="630">
        <v>1</v>
      </c>
      <c r="G505" s="631"/>
      <c r="H505" s="632"/>
      <c r="I505" s="633"/>
      <c r="J505" s="634"/>
    </row>
    <row r="506" spans="3:10" ht="30" customHeight="1" x14ac:dyDescent="0.25">
      <c r="C506" s="642"/>
      <c r="D506" s="642"/>
      <c r="E506" s="642"/>
      <c r="F506" s="630">
        <v>1</v>
      </c>
      <c r="G506" s="631"/>
      <c r="H506" s="632"/>
      <c r="I506" s="633"/>
      <c r="J506" s="634"/>
    </row>
    <row r="507" spans="3:10" ht="30" customHeight="1" x14ac:dyDescent="0.25">
      <c r="C507" s="642"/>
      <c r="D507" s="642"/>
      <c r="E507" s="642"/>
      <c r="F507" s="630">
        <v>1</v>
      </c>
      <c r="G507" s="631"/>
      <c r="H507" s="632"/>
      <c r="I507" s="633"/>
      <c r="J507" s="634"/>
    </row>
    <row r="508" spans="3:10" ht="30" customHeight="1" x14ac:dyDescent="0.25">
      <c r="C508" s="642"/>
      <c r="D508" s="642"/>
      <c r="E508" s="642"/>
      <c r="F508" s="630">
        <v>1</v>
      </c>
      <c r="G508" s="631"/>
      <c r="H508" s="632"/>
      <c r="I508" s="633"/>
      <c r="J508" s="634"/>
    </row>
    <row r="509" spans="3:10" ht="30" customHeight="1" x14ac:dyDescent="0.25">
      <c r="C509" s="642"/>
      <c r="D509" s="642"/>
      <c r="E509" s="642"/>
      <c r="F509" s="630">
        <v>1</v>
      </c>
      <c r="G509" s="631"/>
      <c r="H509" s="632"/>
      <c r="I509" s="633"/>
      <c r="J509" s="634"/>
    </row>
    <row r="510" spans="3:10" ht="30" customHeight="1" x14ac:dyDescent="0.25">
      <c r="C510" s="642"/>
      <c r="D510" s="642"/>
      <c r="E510" s="642"/>
      <c r="F510" s="630">
        <v>1</v>
      </c>
      <c r="G510" s="631"/>
      <c r="H510" s="632"/>
      <c r="I510" s="633"/>
      <c r="J510" s="634"/>
    </row>
    <row r="511" spans="3:10" ht="30" customHeight="1" x14ac:dyDescent="0.25">
      <c r="C511" s="642"/>
      <c r="D511" s="642"/>
      <c r="E511" s="642"/>
      <c r="F511" s="630">
        <v>1</v>
      </c>
      <c r="G511" s="631"/>
      <c r="H511" s="632"/>
      <c r="I511" s="633"/>
      <c r="J511" s="634"/>
    </row>
    <row r="512" spans="3:10" ht="30" customHeight="1" x14ac:dyDescent="0.25">
      <c r="C512" s="642"/>
      <c r="D512" s="642"/>
      <c r="E512" s="642"/>
      <c r="F512" s="630">
        <v>1</v>
      </c>
      <c r="G512" s="631"/>
      <c r="H512" s="632"/>
      <c r="I512" s="633"/>
      <c r="J512" s="634"/>
    </row>
    <row r="513" spans="3:10" ht="30" customHeight="1" x14ac:dyDescent="0.25">
      <c r="C513" s="642"/>
      <c r="D513" s="642"/>
      <c r="E513" s="642"/>
      <c r="F513" s="630">
        <v>1</v>
      </c>
      <c r="G513" s="631"/>
      <c r="H513" s="632"/>
      <c r="I513" s="633"/>
      <c r="J513" s="634"/>
    </row>
    <row r="514" spans="3:10" ht="30" customHeight="1" x14ac:dyDescent="0.25">
      <c r="C514" s="642"/>
      <c r="D514" s="642"/>
      <c r="E514" s="642"/>
      <c r="F514" s="630">
        <v>1</v>
      </c>
      <c r="G514" s="631"/>
      <c r="H514" s="632"/>
      <c r="I514" s="633"/>
      <c r="J514" s="634"/>
    </row>
    <row r="515" spans="3:10" ht="30" customHeight="1" x14ac:dyDescent="0.25">
      <c r="C515" s="642"/>
      <c r="D515" s="642"/>
      <c r="E515" s="642"/>
      <c r="F515" s="630">
        <v>1</v>
      </c>
      <c r="G515" s="631"/>
      <c r="H515" s="632"/>
      <c r="I515" s="633"/>
      <c r="J515" s="634"/>
    </row>
    <row r="516" spans="3:10" ht="30" customHeight="1" x14ac:dyDescent="0.25">
      <c r="C516" s="642"/>
      <c r="D516" s="642"/>
      <c r="E516" s="642"/>
      <c r="F516" s="630">
        <v>1</v>
      </c>
      <c r="G516" s="631"/>
      <c r="H516" s="632"/>
      <c r="I516" s="633"/>
      <c r="J516" s="634"/>
    </row>
    <row r="517" spans="3:10" ht="30" customHeight="1" x14ac:dyDescent="0.25">
      <c r="C517" s="642"/>
      <c r="D517" s="642"/>
      <c r="E517" s="642"/>
      <c r="F517" s="630">
        <v>1</v>
      </c>
      <c r="G517" s="631"/>
      <c r="H517" s="632"/>
      <c r="I517" s="633"/>
      <c r="J517" s="634"/>
    </row>
    <row r="518" spans="3:10" ht="30" customHeight="1" x14ac:dyDescent="0.25">
      <c r="C518" s="642"/>
      <c r="D518" s="642"/>
      <c r="E518" s="642"/>
      <c r="F518" s="630">
        <v>1</v>
      </c>
      <c r="G518" s="631"/>
      <c r="H518" s="632"/>
      <c r="I518" s="633"/>
      <c r="J518" s="634"/>
    </row>
    <row r="519" spans="3:10" ht="30" customHeight="1" x14ac:dyDescent="0.25">
      <c r="C519" s="642"/>
      <c r="D519" s="642"/>
      <c r="E519" s="642"/>
      <c r="F519" s="630">
        <v>1</v>
      </c>
      <c r="G519" s="631"/>
      <c r="H519" s="632"/>
      <c r="I519" s="633"/>
      <c r="J519" s="634"/>
    </row>
    <row r="520" spans="3:10" ht="30" customHeight="1" x14ac:dyDescent="0.25">
      <c r="C520" s="642"/>
      <c r="D520" s="642"/>
      <c r="E520" s="642"/>
      <c r="F520" s="630">
        <v>1</v>
      </c>
      <c r="G520" s="631"/>
      <c r="H520" s="632"/>
      <c r="I520" s="633"/>
      <c r="J520" s="634"/>
    </row>
    <row r="521" spans="3:10" ht="30" customHeight="1" x14ac:dyDescent="0.25">
      <c r="C521" s="642"/>
      <c r="D521" s="642"/>
      <c r="E521" s="642"/>
      <c r="F521" s="630">
        <v>1</v>
      </c>
      <c r="G521" s="631"/>
      <c r="H521" s="632"/>
      <c r="I521" s="633"/>
      <c r="J521" s="634"/>
    </row>
    <row r="522" spans="3:10" ht="30" customHeight="1" x14ac:dyDescent="0.25">
      <c r="C522" s="642"/>
      <c r="D522" s="642"/>
      <c r="E522" s="642"/>
      <c r="F522" s="630">
        <v>1</v>
      </c>
      <c r="G522" s="631"/>
      <c r="H522" s="632"/>
      <c r="I522" s="633"/>
      <c r="J522" s="634"/>
    </row>
    <row r="523" spans="3:10" ht="30" customHeight="1" x14ac:dyDescent="0.25">
      <c r="C523" s="642"/>
      <c r="D523" s="642"/>
      <c r="E523" s="642"/>
      <c r="F523" s="630">
        <v>1</v>
      </c>
      <c r="G523" s="631"/>
      <c r="H523" s="632"/>
      <c r="I523" s="633"/>
      <c r="J523" s="634"/>
    </row>
    <row r="524" spans="3:10" ht="30" customHeight="1" x14ac:dyDescent="0.25">
      <c r="C524" s="642"/>
      <c r="D524" s="642"/>
      <c r="E524" s="642"/>
      <c r="F524" s="630">
        <v>1</v>
      </c>
      <c r="G524" s="631"/>
      <c r="H524" s="632"/>
      <c r="I524" s="633"/>
      <c r="J524" s="634"/>
    </row>
    <row r="525" spans="3:10" ht="30" customHeight="1" x14ac:dyDescent="0.25">
      <c r="C525" s="642"/>
      <c r="D525" s="642"/>
      <c r="E525" s="642"/>
      <c r="F525" s="630">
        <v>1</v>
      </c>
      <c r="G525" s="631"/>
      <c r="H525" s="632"/>
      <c r="I525" s="633"/>
      <c r="J525" s="634"/>
    </row>
    <row r="526" spans="3:10" ht="30" customHeight="1" x14ac:dyDescent="0.25">
      <c r="C526" s="642"/>
      <c r="D526" s="642"/>
      <c r="E526" s="642"/>
      <c r="F526" s="630">
        <v>1</v>
      </c>
      <c r="G526" s="631"/>
      <c r="H526" s="632"/>
      <c r="I526" s="633"/>
      <c r="J526" s="634"/>
    </row>
    <row r="527" spans="3:10" ht="30" customHeight="1" x14ac:dyDescent="0.25">
      <c r="C527" s="642"/>
      <c r="D527" s="642"/>
      <c r="E527" s="642"/>
      <c r="F527" s="630">
        <v>1</v>
      </c>
      <c r="G527" s="631"/>
      <c r="H527" s="632"/>
      <c r="I527" s="633"/>
      <c r="J527" s="634"/>
    </row>
    <row r="528" spans="3:10" ht="30" customHeight="1" x14ac:dyDescent="0.25">
      <c r="C528" s="642"/>
      <c r="D528" s="642"/>
      <c r="E528" s="642"/>
      <c r="F528" s="630">
        <v>1</v>
      </c>
      <c r="G528" s="631"/>
      <c r="H528" s="632"/>
      <c r="I528" s="633"/>
      <c r="J528" s="634"/>
    </row>
    <row r="529" spans="3:10" ht="30" customHeight="1" x14ac:dyDescent="0.25">
      <c r="C529" s="642"/>
      <c r="D529" s="642"/>
      <c r="E529" s="642"/>
      <c r="F529" s="630">
        <v>1</v>
      </c>
      <c r="G529" s="631"/>
      <c r="H529" s="632"/>
      <c r="I529" s="633"/>
      <c r="J529" s="634"/>
    </row>
    <row r="530" spans="3:10" ht="30" customHeight="1" x14ac:dyDescent="0.25">
      <c r="C530" s="642"/>
      <c r="D530" s="642"/>
      <c r="E530" s="642"/>
      <c r="F530" s="630">
        <v>1</v>
      </c>
      <c r="G530" s="631"/>
      <c r="H530" s="632"/>
      <c r="I530" s="633"/>
      <c r="J530" s="634"/>
    </row>
    <row r="531" spans="3:10" ht="30" customHeight="1" x14ac:dyDescent="0.25">
      <c r="C531" s="642"/>
      <c r="D531" s="642"/>
      <c r="E531" s="642"/>
      <c r="F531" s="630">
        <v>1</v>
      </c>
      <c r="G531" s="631"/>
      <c r="H531" s="632"/>
      <c r="I531" s="633"/>
      <c r="J531" s="634"/>
    </row>
    <row r="532" spans="3:10" ht="30" customHeight="1" x14ac:dyDescent="0.25">
      <c r="C532" s="642"/>
      <c r="D532" s="642"/>
      <c r="E532" s="642"/>
      <c r="F532" s="630">
        <v>1</v>
      </c>
      <c r="G532" s="631"/>
      <c r="H532" s="632"/>
      <c r="I532" s="633"/>
      <c r="J532" s="634"/>
    </row>
    <row r="533" spans="3:10" ht="30" customHeight="1" x14ac:dyDescent="0.25">
      <c r="C533" s="642"/>
      <c r="D533" s="642"/>
      <c r="E533" s="642"/>
      <c r="F533" s="630">
        <v>1</v>
      </c>
      <c r="G533" s="631"/>
      <c r="H533" s="632"/>
      <c r="I533" s="633"/>
      <c r="J533" s="634"/>
    </row>
    <row r="534" spans="3:10" ht="30" customHeight="1" x14ac:dyDescent="0.25">
      <c r="C534" s="642"/>
      <c r="D534" s="642"/>
      <c r="E534" s="642"/>
      <c r="F534" s="630">
        <v>1</v>
      </c>
      <c r="G534" s="631"/>
      <c r="H534" s="632"/>
      <c r="I534" s="633"/>
      <c r="J534" s="634"/>
    </row>
    <row r="535" spans="3:10" ht="30" customHeight="1" x14ac:dyDescent="0.25">
      <c r="C535" s="642"/>
      <c r="D535" s="642"/>
      <c r="E535" s="642"/>
      <c r="F535" s="630">
        <v>1</v>
      </c>
      <c r="G535" s="631"/>
      <c r="H535" s="632"/>
      <c r="I535" s="633"/>
      <c r="J535" s="634"/>
    </row>
    <row r="536" spans="3:10" ht="30" customHeight="1" x14ac:dyDescent="0.25">
      <c r="C536" s="642"/>
      <c r="D536" s="642"/>
      <c r="E536" s="642"/>
      <c r="F536" s="630">
        <v>1</v>
      </c>
      <c r="G536" s="631"/>
      <c r="H536" s="632"/>
      <c r="I536" s="633"/>
      <c r="J536" s="634"/>
    </row>
    <row r="537" spans="3:10" ht="30" customHeight="1" x14ac:dyDescent="0.25">
      <c r="C537" s="642"/>
      <c r="D537" s="642"/>
      <c r="E537" s="642"/>
      <c r="F537" s="630">
        <v>1</v>
      </c>
      <c r="G537" s="631"/>
      <c r="H537" s="632"/>
      <c r="I537" s="633"/>
      <c r="J537" s="634"/>
    </row>
    <row r="538" spans="3:10" ht="30" customHeight="1" x14ac:dyDescent="0.25">
      <c r="C538" s="642"/>
      <c r="D538" s="642"/>
      <c r="E538" s="642"/>
      <c r="F538" s="630">
        <v>1</v>
      </c>
      <c r="G538" s="631"/>
      <c r="H538" s="632"/>
      <c r="I538" s="633"/>
      <c r="J538" s="634"/>
    </row>
    <row r="539" spans="3:10" ht="30" customHeight="1" x14ac:dyDescent="0.25">
      <c r="C539" s="642"/>
      <c r="D539" s="642"/>
      <c r="E539" s="642"/>
      <c r="F539" s="630">
        <v>1</v>
      </c>
      <c r="G539" s="631"/>
      <c r="H539" s="632"/>
      <c r="I539" s="633"/>
      <c r="J539" s="634"/>
    </row>
    <row r="540" spans="3:10" ht="30" customHeight="1" x14ac:dyDescent="0.25">
      <c r="C540" s="642"/>
      <c r="D540" s="642"/>
      <c r="E540" s="642"/>
      <c r="F540" s="630">
        <v>1</v>
      </c>
      <c r="G540" s="631"/>
      <c r="H540" s="632"/>
      <c r="I540" s="633"/>
      <c r="J540" s="634"/>
    </row>
    <row r="541" spans="3:10" ht="30" customHeight="1" x14ac:dyDescent="0.25">
      <c r="C541" s="642"/>
      <c r="D541" s="642"/>
      <c r="E541" s="642"/>
      <c r="F541" s="630">
        <v>1</v>
      </c>
      <c r="G541" s="631"/>
      <c r="H541" s="632"/>
      <c r="I541" s="633"/>
      <c r="J541" s="634"/>
    </row>
    <row r="542" spans="3:10" ht="30" customHeight="1" x14ac:dyDescent="0.25">
      <c r="C542" s="642"/>
      <c r="D542" s="642"/>
      <c r="E542" s="642"/>
      <c r="F542" s="630">
        <v>1</v>
      </c>
      <c r="G542" s="631"/>
      <c r="H542" s="632"/>
      <c r="I542" s="633"/>
      <c r="J542" s="634"/>
    </row>
    <row r="543" spans="3:10" ht="30" customHeight="1" x14ac:dyDescent="0.25">
      <c r="C543" s="642"/>
      <c r="D543" s="642"/>
      <c r="E543" s="642"/>
      <c r="F543" s="630">
        <v>1</v>
      </c>
      <c r="G543" s="631"/>
      <c r="H543" s="632"/>
      <c r="I543" s="633"/>
      <c r="J543" s="634"/>
    </row>
    <row r="544" spans="3:10" ht="30" customHeight="1" x14ac:dyDescent="0.25">
      <c r="C544" s="642"/>
      <c r="D544" s="642"/>
      <c r="E544" s="642"/>
      <c r="F544" s="630">
        <v>1</v>
      </c>
      <c r="G544" s="631"/>
      <c r="H544" s="632"/>
      <c r="I544" s="633"/>
      <c r="J544" s="634"/>
    </row>
    <row r="545" spans="3:10" ht="30" customHeight="1" x14ac:dyDescent="0.25">
      <c r="C545" s="642"/>
      <c r="D545" s="642"/>
      <c r="E545" s="642"/>
      <c r="F545" s="630">
        <v>1</v>
      </c>
      <c r="G545" s="631"/>
      <c r="H545" s="632"/>
      <c r="I545" s="633"/>
      <c r="J545" s="634"/>
    </row>
    <row r="546" spans="3:10" ht="30" customHeight="1" x14ac:dyDescent="0.25">
      <c r="C546" s="642"/>
      <c r="D546" s="642"/>
      <c r="E546" s="642"/>
      <c r="F546" s="630">
        <v>1</v>
      </c>
      <c r="G546" s="631"/>
      <c r="H546" s="632"/>
      <c r="I546" s="633"/>
      <c r="J546" s="634"/>
    </row>
    <row r="547" spans="3:10" ht="30" customHeight="1" x14ac:dyDescent="0.25">
      <c r="C547" s="642"/>
      <c r="D547" s="642"/>
      <c r="E547" s="642"/>
      <c r="F547" s="630">
        <v>1</v>
      </c>
      <c r="G547" s="631"/>
      <c r="H547" s="632"/>
      <c r="I547" s="633"/>
      <c r="J547" s="634"/>
    </row>
    <row r="548" spans="3:10" ht="30" customHeight="1" x14ac:dyDescent="0.25">
      <c r="C548" s="642"/>
      <c r="D548" s="642"/>
      <c r="E548" s="642"/>
      <c r="F548" s="630">
        <v>1</v>
      </c>
      <c r="G548" s="631"/>
      <c r="H548" s="632"/>
      <c r="I548" s="633"/>
      <c r="J548" s="634"/>
    </row>
    <row r="549" spans="3:10" ht="30" customHeight="1" x14ac:dyDescent="0.25">
      <c r="C549" s="642"/>
      <c r="D549" s="642"/>
      <c r="E549" s="642"/>
      <c r="F549" s="630">
        <v>1</v>
      </c>
      <c r="G549" s="631"/>
      <c r="H549" s="632"/>
      <c r="I549" s="633"/>
      <c r="J549" s="634"/>
    </row>
    <row r="550" spans="3:10" ht="30" customHeight="1" x14ac:dyDescent="0.25">
      <c r="C550" s="642"/>
      <c r="D550" s="642"/>
      <c r="E550" s="642"/>
      <c r="F550" s="630">
        <v>1</v>
      </c>
      <c r="G550" s="631"/>
      <c r="H550" s="632"/>
      <c r="I550" s="633"/>
      <c r="J550" s="634"/>
    </row>
    <row r="551" spans="3:10" ht="30" customHeight="1" x14ac:dyDescent="0.25">
      <c r="C551" s="642"/>
      <c r="D551" s="642"/>
      <c r="E551" s="642"/>
      <c r="F551" s="630">
        <v>1</v>
      </c>
      <c r="G551" s="631"/>
      <c r="H551" s="632"/>
      <c r="I551" s="633"/>
      <c r="J551" s="634"/>
    </row>
    <row r="552" spans="3:10" ht="30" customHeight="1" x14ac:dyDescent="0.25">
      <c r="C552" s="642"/>
      <c r="D552" s="642"/>
      <c r="E552" s="642"/>
      <c r="F552" s="630">
        <v>1</v>
      </c>
      <c r="G552" s="631"/>
      <c r="H552" s="632"/>
      <c r="I552" s="633"/>
      <c r="J552" s="634"/>
    </row>
    <row r="553" spans="3:10" ht="30" customHeight="1" x14ac:dyDescent="0.25">
      <c r="C553" s="642"/>
      <c r="D553" s="642"/>
      <c r="E553" s="642"/>
      <c r="F553" s="630">
        <v>1</v>
      </c>
      <c r="G553" s="631"/>
      <c r="H553" s="632"/>
      <c r="I553" s="633"/>
      <c r="J553" s="634"/>
    </row>
    <row r="554" spans="3:10" ht="30" customHeight="1" x14ac:dyDescent="0.25">
      <c r="C554" s="642"/>
      <c r="D554" s="642"/>
      <c r="E554" s="642"/>
      <c r="F554" s="630">
        <v>1</v>
      </c>
      <c r="G554" s="631"/>
      <c r="H554" s="632"/>
      <c r="I554" s="633"/>
      <c r="J554" s="634"/>
    </row>
    <row r="555" spans="3:10" ht="30" customHeight="1" x14ac:dyDescent="0.25">
      <c r="C555" s="642"/>
      <c r="D555" s="642"/>
      <c r="E555" s="642"/>
      <c r="F555" s="630">
        <v>1</v>
      </c>
      <c r="G555" s="631"/>
      <c r="H555" s="632"/>
      <c r="I555" s="633"/>
      <c r="J555" s="634"/>
    </row>
    <row r="556" spans="3:10" ht="30" customHeight="1" x14ac:dyDescent="0.25">
      <c r="C556" s="642"/>
      <c r="D556" s="642"/>
      <c r="E556" s="642"/>
      <c r="F556" s="630">
        <v>1</v>
      </c>
      <c r="G556" s="631"/>
      <c r="H556" s="632"/>
      <c r="I556" s="633"/>
      <c r="J556" s="634"/>
    </row>
    <row r="557" spans="3:10" ht="30" customHeight="1" x14ac:dyDescent="0.25">
      <c r="C557" s="642"/>
      <c r="D557" s="642"/>
      <c r="E557" s="642"/>
      <c r="F557" s="630">
        <v>1</v>
      </c>
      <c r="G557" s="631"/>
      <c r="H557" s="632"/>
      <c r="I557" s="633"/>
      <c r="J557" s="634"/>
    </row>
    <row r="558" spans="3:10" ht="30" customHeight="1" x14ac:dyDescent="0.25">
      <c r="C558" s="642"/>
      <c r="D558" s="642"/>
      <c r="E558" s="642"/>
      <c r="F558" s="630">
        <v>1</v>
      </c>
      <c r="G558" s="631"/>
      <c r="H558" s="632"/>
      <c r="I558" s="633"/>
      <c r="J558" s="634"/>
    </row>
    <row r="559" spans="3:10" ht="30" customHeight="1" x14ac:dyDescent="0.25">
      <c r="C559" s="642"/>
      <c r="D559" s="642"/>
      <c r="E559" s="642"/>
      <c r="F559" s="630">
        <v>1</v>
      </c>
      <c r="G559" s="631"/>
      <c r="H559" s="632"/>
      <c r="I559" s="633"/>
      <c r="J559" s="634"/>
    </row>
    <row r="560" spans="3:10" ht="30" customHeight="1" x14ac:dyDescent="0.25">
      <c r="C560" s="642"/>
      <c r="D560" s="642"/>
      <c r="E560" s="642"/>
      <c r="F560" s="630">
        <v>1</v>
      </c>
      <c r="G560" s="631"/>
      <c r="H560" s="632"/>
      <c r="I560" s="633"/>
      <c r="J560" s="634"/>
    </row>
    <row r="561" spans="3:10" ht="30" customHeight="1" x14ac:dyDescent="0.25">
      <c r="C561" s="642"/>
      <c r="D561" s="642"/>
      <c r="E561" s="642"/>
      <c r="F561" s="630">
        <v>1</v>
      </c>
      <c r="G561" s="631"/>
      <c r="H561" s="632"/>
      <c r="I561" s="633"/>
      <c r="J561" s="634"/>
    </row>
    <row r="562" spans="3:10" ht="30" customHeight="1" x14ac:dyDescent="0.25">
      <c r="C562" s="642"/>
      <c r="D562" s="642"/>
      <c r="E562" s="642"/>
      <c r="F562" s="630">
        <v>1</v>
      </c>
      <c r="G562" s="631"/>
      <c r="H562" s="632"/>
      <c r="I562" s="633"/>
      <c r="J562" s="634"/>
    </row>
    <row r="563" spans="3:10" ht="30" customHeight="1" x14ac:dyDescent="0.25">
      <c r="C563" s="642"/>
      <c r="D563" s="642"/>
      <c r="E563" s="642"/>
      <c r="F563" s="630">
        <v>1</v>
      </c>
      <c r="G563" s="631"/>
      <c r="H563" s="632"/>
      <c r="I563" s="633"/>
      <c r="J563" s="634"/>
    </row>
    <row r="564" spans="3:10" ht="30" customHeight="1" x14ac:dyDescent="0.25">
      <c r="C564" s="642"/>
      <c r="D564" s="642"/>
      <c r="E564" s="642"/>
      <c r="F564" s="630">
        <v>1</v>
      </c>
      <c r="G564" s="631"/>
      <c r="H564" s="632"/>
      <c r="I564" s="633"/>
      <c r="J564" s="634"/>
    </row>
    <row r="565" spans="3:10" ht="30" customHeight="1" x14ac:dyDescent="0.25">
      <c r="C565" s="642"/>
      <c r="D565" s="642"/>
      <c r="E565" s="642"/>
      <c r="F565" s="630">
        <v>1</v>
      </c>
      <c r="G565" s="631"/>
      <c r="H565" s="632"/>
      <c r="I565" s="633"/>
      <c r="J565" s="634"/>
    </row>
    <row r="566" spans="3:10" ht="30" customHeight="1" x14ac:dyDescent="0.25">
      <c r="C566" s="642"/>
      <c r="D566" s="642"/>
      <c r="E566" s="642"/>
      <c r="F566" s="630">
        <v>1</v>
      </c>
      <c r="G566" s="631"/>
      <c r="H566" s="632"/>
      <c r="I566" s="633"/>
      <c r="J566" s="634"/>
    </row>
    <row r="567" spans="3:10" ht="30" customHeight="1" x14ac:dyDescent="0.25">
      <c r="C567" s="642"/>
      <c r="D567" s="642"/>
      <c r="E567" s="642"/>
      <c r="F567" s="630">
        <v>1</v>
      </c>
      <c r="G567" s="631"/>
      <c r="H567" s="632"/>
      <c r="I567" s="633"/>
      <c r="J567" s="634"/>
    </row>
    <row r="568" spans="3:10" ht="30" customHeight="1" x14ac:dyDescent="0.25">
      <c r="C568" s="642"/>
      <c r="D568" s="642"/>
      <c r="E568" s="642"/>
      <c r="F568" s="630">
        <v>1</v>
      </c>
      <c r="G568" s="631"/>
      <c r="H568" s="632"/>
      <c r="I568" s="633"/>
      <c r="J568" s="634"/>
    </row>
    <row r="569" spans="3:10" ht="30" customHeight="1" x14ac:dyDescent="0.25">
      <c r="C569" s="642"/>
      <c r="D569" s="642"/>
      <c r="E569" s="642"/>
      <c r="F569" s="630">
        <v>1</v>
      </c>
      <c r="G569" s="631"/>
      <c r="H569" s="632"/>
      <c r="I569" s="633"/>
      <c r="J569" s="634"/>
    </row>
    <row r="570" spans="3:10" ht="30" customHeight="1" x14ac:dyDescent="0.25">
      <c r="C570" s="642"/>
      <c r="D570" s="642"/>
      <c r="E570" s="642"/>
      <c r="F570" s="630">
        <v>1</v>
      </c>
      <c r="G570" s="631"/>
      <c r="H570" s="632"/>
      <c r="I570" s="633"/>
      <c r="J570" s="634"/>
    </row>
    <row r="571" spans="3:10" ht="30" customHeight="1" x14ac:dyDescent="0.25">
      <c r="C571" s="642"/>
      <c r="D571" s="642"/>
      <c r="E571" s="642"/>
      <c r="F571" s="630">
        <v>1</v>
      </c>
      <c r="G571" s="631"/>
      <c r="H571" s="632"/>
      <c r="I571" s="633"/>
      <c r="J571" s="634"/>
    </row>
    <row r="572" spans="3:10" ht="30" customHeight="1" x14ac:dyDescent="0.25">
      <c r="C572" s="642"/>
      <c r="D572" s="642"/>
      <c r="E572" s="642"/>
      <c r="F572" s="630">
        <v>1</v>
      </c>
      <c r="G572" s="631"/>
      <c r="H572" s="632"/>
      <c r="I572" s="633"/>
      <c r="J572" s="634"/>
    </row>
    <row r="573" spans="3:10" ht="30" customHeight="1" x14ac:dyDescent="0.25">
      <c r="C573" s="642"/>
      <c r="D573" s="642"/>
      <c r="E573" s="642"/>
      <c r="F573" s="630">
        <v>1</v>
      </c>
      <c r="G573" s="631"/>
      <c r="H573" s="632"/>
      <c r="I573" s="633"/>
      <c r="J573" s="634"/>
    </row>
    <row r="574" spans="3:10" ht="30" customHeight="1" x14ac:dyDescent="0.25">
      <c r="C574" s="642"/>
      <c r="D574" s="642"/>
      <c r="E574" s="642"/>
      <c r="F574" s="630">
        <v>1</v>
      </c>
      <c r="G574" s="631"/>
      <c r="H574" s="632"/>
      <c r="I574" s="633"/>
      <c r="J574" s="634"/>
    </row>
    <row r="575" spans="3:10" ht="30" customHeight="1" x14ac:dyDescent="0.25">
      <c r="C575" s="642"/>
      <c r="D575" s="642"/>
      <c r="E575" s="642"/>
      <c r="F575" s="630">
        <v>1</v>
      </c>
      <c r="G575" s="631"/>
      <c r="H575" s="632"/>
      <c r="I575" s="633"/>
      <c r="J575" s="634"/>
    </row>
    <row r="576" spans="3:10" ht="30" customHeight="1" x14ac:dyDescent="0.25">
      <c r="C576" s="642"/>
      <c r="D576" s="642"/>
      <c r="E576" s="642"/>
      <c r="F576" s="630">
        <v>1</v>
      </c>
      <c r="G576" s="631"/>
      <c r="H576" s="632"/>
      <c r="I576" s="633"/>
      <c r="J576" s="634"/>
    </row>
    <row r="577" spans="3:10" ht="30" customHeight="1" x14ac:dyDescent="0.25">
      <c r="C577" s="642"/>
      <c r="D577" s="642"/>
      <c r="E577" s="642"/>
      <c r="F577" s="630">
        <v>1</v>
      </c>
      <c r="G577" s="631"/>
      <c r="H577" s="632"/>
      <c r="I577" s="633"/>
      <c r="J577" s="634"/>
    </row>
    <row r="578" spans="3:10" ht="30" customHeight="1" x14ac:dyDescent="0.25">
      <c r="C578" s="642"/>
      <c r="D578" s="642"/>
      <c r="E578" s="642"/>
      <c r="F578" s="630">
        <v>1</v>
      </c>
      <c r="G578" s="631"/>
      <c r="H578" s="632"/>
      <c r="I578" s="633"/>
      <c r="J578" s="634"/>
    </row>
    <row r="579" spans="3:10" ht="30" customHeight="1" x14ac:dyDescent="0.25">
      <c r="C579" s="642"/>
      <c r="D579" s="642"/>
      <c r="E579" s="642"/>
      <c r="F579" s="630">
        <v>1</v>
      </c>
      <c r="G579" s="631"/>
      <c r="H579" s="632"/>
      <c r="I579" s="633"/>
      <c r="J579" s="634"/>
    </row>
    <row r="580" spans="3:10" ht="30" customHeight="1" x14ac:dyDescent="0.25">
      <c r="C580" s="642"/>
      <c r="D580" s="642"/>
      <c r="E580" s="642"/>
      <c r="F580" s="630">
        <v>1</v>
      </c>
      <c r="G580" s="631"/>
      <c r="H580" s="632"/>
      <c r="I580" s="633"/>
      <c r="J580" s="634"/>
    </row>
    <row r="581" spans="3:10" ht="30" customHeight="1" x14ac:dyDescent="0.25">
      <c r="C581" s="642"/>
      <c r="D581" s="642"/>
      <c r="E581" s="642"/>
      <c r="F581" s="630">
        <v>1</v>
      </c>
      <c r="G581" s="631"/>
      <c r="H581" s="632"/>
      <c r="I581" s="633"/>
      <c r="J581" s="634"/>
    </row>
    <row r="582" spans="3:10" ht="30" customHeight="1" x14ac:dyDescent="0.25">
      <c r="C582" s="642"/>
      <c r="D582" s="642"/>
      <c r="E582" s="642"/>
      <c r="F582" s="630">
        <v>1</v>
      </c>
      <c r="G582" s="631"/>
      <c r="H582" s="632"/>
      <c r="I582" s="633"/>
      <c r="J582" s="634"/>
    </row>
    <row r="583" spans="3:10" ht="30" customHeight="1" x14ac:dyDescent="0.25">
      <c r="C583" s="642"/>
      <c r="D583" s="642"/>
      <c r="E583" s="642"/>
      <c r="F583" s="630">
        <v>1</v>
      </c>
      <c r="G583" s="631"/>
      <c r="H583" s="632"/>
      <c r="I583" s="633"/>
      <c r="J583" s="634"/>
    </row>
    <row r="584" spans="3:10" ht="30" customHeight="1" x14ac:dyDescent="0.25">
      <c r="C584" s="642"/>
      <c r="D584" s="642"/>
      <c r="E584" s="642"/>
      <c r="F584" s="630">
        <v>1</v>
      </c>
      <c r="G584" s="631"/>
      <c r="H584" s="632"/>
      <c r="I584" s="633"/>
      <c r="J584" s="634"/>
    </row>
    <row r="585" spans="3:10" ht="30" customHeight="1" x14ac:dyDescent="0.25">
      <c r="C585" s="642"/>
      <c r="D585" s="642"/>
      <c r="E585" s="642"/>
      <c r="F585" s="630">
        <v>1</v>
      </c>
      <c r="G585" s="631"/>
      <c r="H585" s="632"/>
      <c r="I585" s="633"/>
      <c r="J585" s="634"/>
    </row>
    <row r="586" spans="3:10" ht="30" customHeight="1" x14ac:dyDescent="0.25">
      <c r="C586" s="642"/>
      <c r="D586" s="642"/>
      <c r="E586" s="642"/>
      <c r="F586" s="630">
        <v>1</v>
      </c>
      <c r="G586" s="631"/>
      <c r="H586" s="632"/>
      <c r="I586" s="633"/>
      <c r="J586" s="634"/>
    </row>
    <row r="587" spans="3:10" ht="30" customHeight="1" x14ac:dyDescent="0.25">
      <c r="C587" s="642"/>
      <c r="D587" s="642"/>
      <c r="E587" s="642"/>
      <c r="F587" s="630">
        <v>1</v>
      </c>
      <c r="G587" s="631"/>
      <c r="H587" s="632"/>
      <c r="I587" s="633"/>
      <c r="J587" s="634"/>
    </row>
    <row r="588" spans="3:10" ht="30" customHeight="1" x14ac:dyDescent="0.25">
      <c r="C588" s="642"/>
      <c r="D588" s="642"/>
      <c r="E588" s="642"/>
      <c r="F588" s="630">
        <v>1</v>
      </c>
      <c r="G588" s="631"/>
      <c r="H588" s="632"/>
      <c r="I588" s="633"/>
      <c r="J588" s="634"/>
    </row>
    <row r="589" spans="3:10" ht="30" customHeight="1" x14ac:dyDescent="0.25">
      <c r="C589" s="642"/>
      <c r="D589" s="642"/>
      <c r="E589" s="642"/>
      <c r="F589" s="630">
        <v>1</v>
      </c>
      <c r="G589" s="631"/>
      <c r="H589" s="632"/>
      <c r="I589" s="633"/>
      <c r="J589" s="634"/>
    </row>
    <row r="590" spans="3:10" ht="30" customHeight="1" x14ac:dyDescent="0.25">
      <c r="C590" s="642"/>
      <c r="D590" s="642"/>
      <c r="E590" s="642"/>
      <c r="F590" s="630">
        <v>1</v>
      </c>
      <c r="G590" s="631"/>
      <c r="H590" s="632"/>
      <c r="I590" s="633"/>
      <c r="J590" s="634"/>
    </row>
    <row r="591" spans="3:10" ht="30" customHeight="1" x14ac:dyDescent="0.25">
      <c r="C591" s="642"/>
      <c r="D591" s="642"/>
      <c r="E591" s="642"/>
      <c r="F591" s="630">
        <v>1</v>
      </c>
      <c r="G591" s="631"/>
      <c r="H591" s="632"/>
      <c r="I591" s="633"/>
      <c r="J591" s="634"/>
    </row>
    <row r="592" spans="3:10" ht="30" customHeight="1" x14ac:dyDescent="0.25">
      <c r="C592" s="642"/>
      <c r="D592" s="642"/>
      <c r="E592" s="642"/>
      <c r="F592" s="630">
        <v>1</v>
      </c>
      <c r="G592" s="631"/>
      <c r="H592" s="632"/>
      <c r="I592" s="633"/>
      <c r="J592" s="634"/>
    </row>
    <row r="593" spans="3:10" ht="30" customHeight="1" x14ac:dyDescent="0.25">
      <c r="C593" s="642"/>
      <c r="D593" s="642"/>
      <c r="E593" s="642"/>
      <c r="F593" s="630">
        <v>1</v>
      </c>
      <c r="G593" s="631"/>
      <c r="H593" s="632"/>
      <c r="I593" s="633"/>
      <c r="J593" s="634"/>
    </row>
    <row r="594" spans="3:10" ht="30" customHeight="1" x14ac:dyDescent="0.25">
      <c r="C594" s="642"/>
      <c r="D594" s="642"/>
      <c r="E594" s="642"/>
      <c r="F594" s="630">
        <v>1</v>
      </c>
      <c r="G594" s="631"/>
      <c r="H594" s="632"/>
      <c r="I594" s="633"/>
      <c r="J594" s="634"/>
    </row>
    <row r="595" spans="3:10" ht="30" customHeight="1" x14ac:dyDescent="0.25">
      <c r="C595" s="642"/>
      <c r="D595" s="642"/>
      <c r="E595" s="642"/>
      <c r="F595" s="630">
        <v>1</v>
      </c>
      <c r="G595" s="631"/>
      <c r="H595" s="632"/>
      <c r="I595" s="633"/>
      <c r="J595" s="634"/>
    </row>
    <row r="596" spans="3:10" ht="30" customHeight="1" x14ac:dyDescent="0.25">
      <c r="C596" s="642"/>
      <c r="D596" s="642"/>
      <c r="E596" s="642"/>
      <c r="F596" s="630">
        <v>1</v>
      </c>
      <c r="G596" s="631"/>
      <c r="H596" s="632"/>
      <c r="I596" s="633"/>
      <c r="J596" s="634"/>
    </row>
    <row r="597" spans="3:10" ht="30" customHeight="1" x14ac:dyDescent="0.25">
      <c r="C597" s="642"/>
      <c r="D597" s="642"/>
      <c r="E597" s="642"/>
      <c r="F597" s="630">
        <v>1</v>
      </c>
      <c r="G597" s="631"/>
      <c r="H597" s="632"/>
      <c r="I597" s="633"/>
      <c r="J597" s="634"/>
    </row>
    <row r="598" spans="3:10" ht="30" customHeight="1" x14ac:dyDescent="0.25">
      <c r="C598" s="642"/>
      <c r="D598" s="642"/>
      <c r="E598" s="642"/>
      <c r="F598" s="630">
        <v>1</v>
      </c>
      <c r="G598" s="631"/>
      <c r="H598" s="632"/>
      <c r="I598" s="633"/>
      <c r="J598" s="634"/>
    </row>
    <row r="599" spans="3:10" ht="30" customHeight="1" x14ac:dyDescent="0.25">
      <c r="C599" s="642"/>
      <c r="D599" s="642"/>
      <c r="E599" s="642"/>
      <c r="F599" s="630">
        <v>1</v>
      </c>
      <c r="G599" s="631"/>
      <c r="H599" s="632"/>
      <c r="I599" s="633"/>
      <c r="J599" s="634"/>
    </row>
    <row r="600" spans="3:10" ht="30" customHeight="1" x14ac:dyDescent="0.25">
      <c r="C600" s="642"/>
      <c r="D600" s="642"/>
      <c r="E600" s="642"/>
      <c r="F600" s="630">
        <v>1</v>
      </c>
      <c r="G600" s="631"/>
      <c r="H600" s="632"/>
      <c r="I600" s="633"/>
      <c r="J600" s="634"/>
    </row>
    <row r="601" spans="3:10" ht="30" customHeight="1" x14ac:dyDescent="0.25">
      <c r="F601" s="630">
        <v>1</v>
      </c>
      <c r="G601" s="631"/>
      <c r="H601" s="632"/>
      <c r="I601" s="633"/>
      <c r="J601" s="634"/>
    </row>
    <row r="602" spans="3:10" ht="30" customHeight="1" x14ac:dyDescent="0.25">
      <c r="F602" s="630">
        <v>1</v>
      </c>
      <c r="G602" s="631"/>
      <c r="H602" s="632"/>
      <c r="I602" s="633"/>
      <c r="J602" s="634"/>
    </row>
    <row r="603" spans="3:10" ht="30" customHeight="1" x14ac:dyDescent="0.25">
      <c r="F603" s="630">
        <v>1</v>
      </c>
      <c r="G603" s="631"/>
      <c r="H603" s="632"/>
      <c r="I603" s="633"/>
      <c r="J603" s="634"/>
    </row>
    <row r="604" spans="3:10" ht="30" customHeight="1" x14ac:dyDescent="0.25">
      <c r="F604" s="630">
        <v>1</v>
      </c>
      <c r="G604" s="631"/>
      <c r="H604" s="632"/>
      <c r="I604" s="633"/>
      <c r="J604" s="634"/>
    </row>
    <row r="605" spans="3:10" ht="30" customHeight="1" x14ac:dyDescent="0.25">
      <c r="F605" s="630">
        <v>1</v>
      </c>
      <c r="G605" s="631"/>
      <c r="H605" s="632"/>
      <c r="I605" s="633"/>
      <c r="J605" s="634"/>
    </row>
    <row r="606" spans="3:10" ht="30" customHeight="1" x14ac:dyDescent="0.25">
      <c r="F606" s="630">
        <v>1</v>
      </c>
      <c r="G606" s="631"/>
      <c r="H606" s="632"/>
      <c r="I606" s="633"/>
      <c r="J606" s="634"/>
    </row>
    <row r="607" spans="3:10" ht="30" customHeight="1" x14ac:dyDescent="0.25">
      <c r="F607" s="630">
        <v>1</v>
      </c>
      <c r="G607" s="631"/>
      <c r="H607" s="632"/>
      <c r="I607" s="633"/>
      <c r="J607" s="634"/>
    </row>
    <row r="608" spans="3:10" ht="30" customHeight="1" x14ac:dyDescent="0.25">
      <c r="F608" s="630">
        <v>1</v>
      </c>
      <c r="G608" s="631"/>
      <c r="H608" s="632"/>
      <c r="I608" s="633"/>
      <c r="J608" s="634"/>
    </row>
    <row r="609" spans="6:10" ht="30" customHeight="1" x14ac:dyDescent="0.25">
      <c r="F609" s="630">
        <v>1</v>
      </c>
      <c r="G609" s="631"/>
      <c r="H609" s="632"/>
      <c r="I609" s="633"/>
      <c r="J609" s="634"/>
    </row>
    <row r="610" spans="6:10" ht="30" customHeight="1" x14ac:dyDescent="0.25">
      <c r="F610" s="630">
        <v>1</v>
      </c>
      <c r="G610" s="631"/>
      <c r="H610" s="632"/>
      <c r="I610" s="633"/>
      <c r="J610" s="634"/>
    </row>
    <row r="611" spans="6:10" ht="30" customHeight="1" x14ac:dyDescent="0.25">
      <c r="F611" s="630">
        <v>1</v>
      </c>
      <c r="G611" s="631"/>
      <c r="H611" s="632"/>
      <c r="I611" s="633"/>
      <c r="J611" s="634"/>
    </row>
    <row r="612" spans="6:10" ht="30" customHeight="1" x14ac:dyDescent="0.25">
      <c r="F612" s="630">
        <v>1</v>
      </c>
      <c r="G612" s="631"/>
      <c r="H612" s="632"/>
      <c r="I612" s="633"/>
      <c r="J612" s="634"/>
    </row>
    <row r="613" spans="6:10" ht="30" customHeight="1" x14ac:dyDescent="0.25">
      <c r="F613" s="630">
        <v>1</v>
      </c>
      <c r="G613" s="631"/>
      <c r="H613" s="632"/>
      <c r="I613" s="633"/>
      <c r="J613" s="634"/>
    </row>
    <row r="614" spans="6:10" ht="30" customHeight="1" x14ac:dyDescent="0.25">
      <c r="F614" s="630">
        <v>1</v>
      </c>
      <c r="G614" s="631"/>
      <c r="H614" s="632"/>
      <c r="I614" s="633"/>
      <c r="J614" s="634"/>
    </row>
    <row r="615" spans="6:10" ht="30" customHeight="1" x14ac:dyDescent="0.25">
      <c r="F615" s="630">
        <v>1</v>
      </c>
      <c r="G615" s="631"/>
      <c r="H615" s="632"/>
      <c r="I615" s="633"/>
      <c r="J615" s="634"/>
    </row>
    <row r="616" spans="6:10" ht="30" customHeight="1" x14ac:dyDescent="0.25">
      <c r="F616" s="630">
        <v>1</v>
      </c>
      <c r="G616" s="631"/>
      <c r="H616" s="632"/>
      <c r="I616" s="633"/>
      <c r="J616" s="634"/>
    </row>
    <row r="617" spans="6:10" ht="30" customHeight="1" x14ac:dyDescent="0.25">
      <c r="F617" s="630">
        <v>1</v>
      </c>
      <c r="G617" s="631"/>
      <c r="H617" s="632"/>
      <c r="I617" s="633"/>
      <c r="J617" s="634"/>
    </row>
    <row r="618" spans="6:10" ht="30" customHeight="1" x14ac:dyDescent="0.25">
      <c r="F618" s="630">
        <v>1</v>
      </c>
      <c r="G618" s="631"/>
      <c r="H618" s="632"/>
      <c r="I618" s="633"/>
      <c r="J618" s="634"/>
    </row>
    <row r="619" spans="6:10" ht="30" customHeight="1" x14ac:dyDescent="0.25">
      <c r="F619" s="630">
        <v>1</v>
      </c>
      <c r="G619" s="631"/>
      <c r="H619" s="632"/>
      <c r="I619" s="633"/>
      <c r="J619" s="634"/>
    </row>
    <row r="620" spans="6:10" ht="30" customHeight="1" x14ac:dyDescent="0.25">
      <c r="F620" s="630">
        <v>1</v>
      </c>
      <c r="G620" s="631"/>
      <c r="H620" s="632"/>
      <c r="I620" s="633"/>
      <c r="J620" s="634"/>
    </row>
    <row r="621" spans="6:10" ht="30" customHeight="1" x14ac:dyDescent="0.25">
      <c r="F621" s="630">
        <v>1</v>
      </c>
      <c r="G621" s="631"/>
      <c r="H621" s="632"/>
      <c r="I621" s="633"/>
      <c r="J621" s="634"/>
    </row>
    <row r="622" spans="6:10" ht="30" customHeight="1" x14ac:dyDescent="0.25">
      <c r="F622" s="630">
        <v>1</v>
      </c>
      <c r="G622" s="631"/>
      <c r="H622" s="632"/>
      <c r="I622" s="633"/>
      <c r="J622" s="634"/>
    </row>
    <row r="623" spans="6:10" ht="30" customHeight="1" x14ac:dyDescent="0.25">
      <c r="F623" s="630">
        <v>1</v>
      </c>
      <c r="G623" s="631"/>
      <c r="H623" s="632"/>
      <c r="I623" s="633"/>
      <c r="J623" s="634"/>
    </row>
    <row r="624" spans="6:10" ht="30" customHeight="1" x14ac:dyDescent="0.25">
      <c r="F624" s="630">
        <v>1</v>
      </c>
      <c r="G624" s="631"/>
      <c r="H624" s="632"/>
      <c r="I624" s="633"/>
      <c r="J624" s="634"/>
    </row>
    <row r="625" spans="6:10" ht="30" customHeight="1" x14ac:dyDescent="0.25">
      <c r="F625" s="630">
        <v>1</v>
      </c>
      <c r="G625" s="631"/>
      <c r="H625" s="632"/>
      <c r="I625" s="633"/>
      <c r="J625" s="634"/>
    </row>
    <row r="626" spans="6:10" ht="30" customHeight="1" x14ac:dyDescent="0.25">
      <c r="F626" s="630">
        <v>1</v>
      </c>
      <c r="G626" s="631"/>
      <c r="H626" s="632"/>
      <c r="I626" s="633"/>
      <c r="J626" s="634"/>
    </row>
    <row r="627" spans="6:10" ht="30" customHeight="1" x14ac:dyDescent="0.25">
      <c r="F627" s="630">
        <v>1</v>
      </c>
      <c r="G627" s="631"/>
      <c r="H627" s="632"/>
      <c r="I627" s="633"/>
      <c r="J627" s="634"/>
    </row>
    <row r="628" spans="6:10" ht="30" customHeight="1" x14ac:dyDescent="0.25">
      <c r="F628" s="630">
        <v>1</v>
      </c>
      <c r="G628" s="631"/>
      <c r="H628" s="632"/>
      <c r="I628" s="633"/>
      <c r="J628" s="634"/>
    </row>
    <row r="629" spans="6:10" ht="30" customHeight="1" x14ac:dyDescent="0.25">
      <c r="F629" s="630">
        <v>1</v>
      </c>
      <c r="G629" s="631"/>
      <c r="H629" s="632"/>
      <c r="I629" s="633"/>
      <c r="J629" s="634"/>
    </row>
    <row r="630" spans="6:10" ht="30" customHeight="1" x14ac:dyDescent="0.25">
      <c r="F630" s="630">
        <v>1</v>
      </c>
      <c r="G630" s="631"/>
      <c r="H630" s="632"/>
      <c r="I630" s="633"/>
      <c r="J630" s="634"/>
    </row>
    <row r="631" spans="6:10" ht="30" customHeight="1" x14ac:dyDescent="0.25">
      <c r="F631" s="630">
        <v>1</v>
      </c>
      <c r="G631" s="631"/>
      <c r="H631" s="632"/>
      <c r="I631" s="633"/>
      <c r="J631" s="634"/>
    </row>
    <row r="632" spans="6:10" ht="30" customHeight="1" x14ac:dyDescent="0.25">
      <c r="F632" s="630">
        <v>1</v>
      </c>
      <c r="G632" s="631"/>
      <c r="H632" s="632"/>
      <c r="I632" s="633"/>
      <c r="J632" s="634"/>
    </row>
    <row r="633" spans="6:10" ht="30" customHeight="1" x14ac:dyDescent="0.25">
      <c r="F633" s="630">
        <v>1</v>
      </c>
      <c r="G633" s="631"/>
      <c r="H633" s="632"/>
      <c r="I633" s="633"/>
      <c r="J633" s="634"/>
    </row>
    <row r="634" spans="6:10" ht="30" customHeight="1" x14ac:dyDescent="0.25">
      <c r="F634" s="630">
        <v>1</v>
      </c>
      <c r="G634" s="631"/>
      <c r="H634" s="632"/>
      <c r="I634" s="633"/>
      <c r="J634" s="634"/>
    </row>
    <row r="635" spans="6:10" ht="30" customHeight="1" x14ac:dyDescent="0.25">
      <c r="F635" s="630">
        <v>1</v>
      </c>
      <c r="G635" s="631"/>
      <c r="H635" s="632"/>
      <c r="I635" s="633"/>
      <c r="J635" s="634"/>
    </row>
    <row r="636" spans="6:10" ht="30" customHeight="1" x14ac:dyDescent="0.25">
      <c r="F636" s="630">
        <v>1</v>
      </c>
      <c r="G636" s="631"/>
      <c r="H636" s="632"/>
      <c r="I636" s="633"/>
      <c r="J636" s="634"/>
    </row>
    <row r="637" spans="6:10" ht="30" customHeight="1" x14ac:dyDescent="0.25">
      <c r="F637" s="630">
        <v>1</v>
      </c>
      <c r="G637" s="631"/>
      <c r="H637" s="632"/>
      <c r="I637" s="633"/>
      <c r="J637" s="634"/>
    </row>
    <row r="638" spans="6:10" ht="30" customHeight="1" x14ac:dyDescent="0.25">
      <c r="F638" s="630">
        <v>1</v>
      </c>
      <c r="G638" s="631"/>
      <c r="H638" s="632"/>
      <c r="I638" s="633"/>
      <c r="J638" s="634"/>
    </row>
    <row r="639" spans="6:10" ht="30" customHeight="1" x14ac:dyDescent="0.25">
      <c r="F639" s="630">
        <v>1</v>
      </c>
      <c r="G639" s="631"/>
      <c r="H639" s="632"/>
      <c r="I639" s="633"/>
      <c r="J639" s="634"/>
    </row>
    <row r="640" spans="6:10" ht="30" customHeight="1" x14ac:dyDescent="0.25">
      <c r="F640" s="630">
        <v>1</v>
      </c>
      <c r="G640" s="631"/>
      <c r="H640" s="632"/>
      <c r="I640" s="633"/>
      <c r="J640" s="634"/>
    </row>
    <row r="641" spans="6:10" ht="30" customHeight="1" x14ac:dyDescent="0.25">
      <c r="F641" s="630">
        <v>1</v>
      </c>
      <c r="G641" s="631"/>
      <c r="H641" s="632"/>
      <c r="I641" s="633"/>
      <c r="J641" s="634"/>
    </row>
    <row r="642" spans="6:10" ht="30" customHeight="1" x14ac:dyDescent="0.25">
      <c r="F642" s="630">
        <v>1</v>
      </c>
      <c r="G642" s="631"/>
      <c r="H642" s="632"/>
      <c r="I642" s="633"/>
      <c r="J642" s="634"/>
    </row>
    <row r="643" spans="6:10" ht="30" customHeight="1" x14ac:dyDescent="0.25">
      <c r="F643" s="630">
        <v>1</v>
      </c>
      <c r="G643" s="631"/>
      <c r="H643" s="632"/>
      <c r="I643" s="633"/>
      <c r="J643" s="634"/>
    </row>
    <row r="644" spans="6:10" ht="30" customHeight="1" x14ac:dyDescent="0.25">
      <c r="F644" s="630">
        <v>1</v>
      </c>
      <c r="G644" s="631"/>
      <c r="H644" s="632"/>
      <c r="I644" s="633"/>
      <c r="J644" s="634"/>
    </row>
    <row r="645" spans="6:10" ht="30" customHeight="1" x14ac:dyDescent="0.25">
      <c r="F645" s="630">
        <v>1</v>
      </c>
      <c r="G645" s="631"/>
      <c r="H645" s="632"/>
      <c r="I645" s="633"/>
      <c r="J645" s="634"/>
    </row>
    <row r="646" spans="6:10" ht="30" customHeight="1" x14ac:dyDescent="0.25">
      <c r="F646" s="630">
        <v>1</v>
      </c>
      <c r="G646" s="631"/>
      <c r="H646" s="632"/>
      <c r="I646" s="633"/>
      <c r="J646" s="634"/>
    </row>
    <row r="647" spans="6:10" ht="30" customHeight="1" x14ac:dyDescent="0.25">
      <c r="F647" s="630">
        <v>1</v>
      </c>
      <c r="G647" s="631"/>
      <c r="H647" s="632"/>
      <c r="I647" s="633"/>
      <c r="J647" s="634"/>
    </row>
    <row r="648" spans="6:10" ht="30" customHeight="1" x14ac:dyDescent="0.25">
      <c r="F648" s="630">
        <v>1</v>
      </c>
      <c r="G648" s="631"/>
      <c r="H648" s="632"/>
      <c r="I648" s="633"/>
      <c r="J648" s="634"/>
    </row>
    <row r="649" spans="6:10" ht="30" customHeight="1" x14ac:dyDescent="0.25">
      <c r="F649" s="630">
        <v>1</v>
      </c>
      <c r="G649" s="631"/>
      <c r="H649" s="632"/>
      <c r="I649" s="633"/>
      <c r="J649" s="634"/>
    </row>
    <row r="650" spans="6:10" ht="30" customHeight="1" x14ac:dyDescent="0.25">
      <c r="F650" s="630">
        <v>1</v>
      </c>
      <c r="G650" s="631"/>
      <c r="H650" s="632"/>
      <c r="I650" s="633"/>
      <c r="J650" s="634"/>
    </row>
    <row r="651" spans="6:10" ht="30" customHeight="1" x14ac:dyDescent="0.25">
      <c r="F651" s="630">
        <v>1</v>
      </c>
      <c r="G651" s="631"/>
      <c r="H651" s="632"/>
      <c r="I651" s="633"/>
      <c r="J651" s="634"/>
    </row>
    <row r="652" spans="6:10" ht="30" customHeight="1" x14ac:dyDescent="0.25">
      <c r="F652" s="630">
        <v>1</v>
      </c>
      <c r="G652" s="631"/>
      <c r="H652" s="632"/>
      <c r="I652" s="633"/>
      <c r="J652" s="634"/>
    </row>
    <row r="653" spans="6:10" ht="30" customHeight="1" x14ac:dyDescent="0.25">
      <c r="F653" s="630">
        <v>1</v>
      </c>
      <c r="G653" s="631"/>
      <c r="H653" s="632"/>
      <c r="I653" s="633"/>
      <c r="J653" s="634"/>
    </row>
    <row r="654" spans="6:10" ht="30" customHeight="1" x14ac:dyDescent="0.25">
      <c r="F654" s="630">
        <v>1</v>
      </c>
      <c r="G654" s="631"/>
      <c r="H654" s="632"/>
      <c r="I654" s="633"/>
      <c r="J654" s="634"/>
    </row>
    <row r="655" spans="6:10" ht="30" customHeight="1" x14ac:dyDescent="0.25">
      <c r="F655" s="630">
        <v>1</v>
      </c>
      <c r="G655" s="631"/>
      <c r="H655" s="632"/>
      <c r="I655" s="633"/>
      <c r="J655" s="634"/>
    </row>
    <row r="656" spans="6:10" ht="30" customHeight="1" x14ac:dyDescent="0.25">
      <c r="F656" s="630">
        <v>1</v>
      </c>
      <c r="G656" s="631"/>
      <c r="H656" s="632"/>
      <c r="I656" s="633"/>
      <c r="J656" s="634"/>
    </row>
    <row r="657" spans="6:10" ht="30" customHeight="1" x14ac:dyDescent="0.25">
      <c r="F657" s="630">
        <v>1</v>
      </c>
      <c r="G657" s="631"/>
      <c r="H657" s="632"/>
      <c r="I657" s="633"/>
      <c r="J657" s="634"/>
    </row>
    <row r="658" spans="6:10" ht="30" customHeight="1" x14ac:dyDescent="0.25">
      <c r="F658" s="630">
        <v>1</v>
      </c>
      <c r="G658" s="631"/>
      <c r="H658" s="632"/>
      <c r="I658" s="633"/>
      <c r="J658" s="634"/>
    </row>
    <row r="659" spans="6:10" ht="30" customHeight="1" x14ac:dyDescent="0.25">
      <c r="F659" s="630">
        <v>1</v>
      </c>
      <c r="G659" s="631"/>
      <c r="H659" s="632"/>
      <c r="I659" s="633"/>
      <c r="J659" s="634"/>
    </row>
    <row r="660" spans="6:10" ht="30" customHeight="1" x14ac:dyDescent="0.25">
      <c r="F660" s="630">
        <v>1</v>
      </c>
      <c r="G660" s="631"/>
      <c r="H660" s="632"/>
      <c r="I660" s="633"/>
      <c r="J660" s="634"/>
    </row>
    <row r="661" spans="6:10" ht="30" customHeight="1" x14ac:dyDescent="0.25">
      <c r="F661" s="630">
        <v>1</v>
      </c>
      <c r="G661" s="631"/>
      <c r="H661" s="632"/>
      <c r="I661" s="633"/>
      <c r="J661" s="634"/>
    </row>
    <row r="662" spans="6:10" ht="30" customHeight="1" x14ac:dyDescent="0.25">
      <c r="F662" s="630">
        <v>1</v>
      </c>
      <c r="G662" s="631"/>
      <c r="H662" s="632"/>
      <c r="I662" s="633"/>
      <c r="J662" s="634"/>
    </row>
    <row r="663" spans="6:10" ht="30" customHeight="1" x14ac:dyDescent="0.25">
      <c r="F663" s="630">
        <v>1</v>
      </c>
      <c r="G663" s="631"/>
      <c r="H663" s="632"/>
      <c r="I663" s="633"/>
      <c r="J663" s="634"/>
    </row>
    <row r="664" spans="6:10" ht="30" customHeight="1" x14ac:dyDescent="0.25">
      <c r="F664" s="630">
        <v>1</v>
      </c>
      <c r="G664" s="631"/>
      <c r="H664" s="632"/>
      <c r="I664" s="633"/>
      <c r="J664" s="634"/>
    </row>
    <row r="665" spans="6:10" ht="30" customHeight="1" x14ac:dyDescent="0.25">
      <c r="F665" s="630">
        <v>1</v>
      </c>
      <c r="G665" s="631"/>
      <c r="H665" s="632"/>
      <c r="I665" s="633"/>
      <c r="J665" s="634"/>
    </row>
    <row r="666" spans="6:10" ht="30" customHeight="1" x14ac:dyDescent="0.25">
      <c r="F666" s="630">
        <v>1</v>
      </c>
      <c r="G666" s="631"/>
      <c r="H666" s="632"/>
      <c r="I666" s="633"/>
      <c r="J666" s="634"/>
    </row>
    <row r="667" spans="6:10" ht="30" customHeight="1" x14ac:dyDescent="0.25">
      <c r="F667" s="630">
        <v>1</v>
      </c>
      <c r="G667" s="631"/>
      <c r="H667" s="632"/>
      <c r="I667" s="633"/>
      <c r="J667" s="634"/>
    </row>
    <row r="668" spans="6:10" ht="30" customHeight="1" x14ac:dyDescent="0.25">
      <c r="F668" s="630">
        <v>1</v>
      </c>
      <c r="G668" s="631"/>
      <c r="H668" s="632"/>
      <c r="I668" s="633"/>
      <c r="J668" s="634"/>
    </row>
    <row r="669" spans="6:10" ht="30" customHeight="1" x14ac:dyDescent="0.25">
      <c r="F669" s="630">
        <v>1</v>
      </c>
      <c r="G669" s="631"/>
      <c r="H669" s="632"/>
      <c r="I669" s="633"/>
      <c r="J669" s="634"/>
    </row>
    <row r="670" spans="6:10" ht="30" customHeight="1" x14ac:dyDescent="0.25">
      <c r="F670" s="630">
        <v>1</v>
      </c>
      <c r="G670" s="631"/>
      <c r="H670" s="632"/>
      <c r="I670" s="633"/>
      <c r="J670" s="634"/>
    </row>
    <row r="671" spans="6:10" ht="30" customHeight="1" x14ac:dyDescent="0.25">
      <c r="F671" s="630">
        <v>1</v>
      </c>
      <c r="G671" s="631"/>
      <c r="H671" s="632"/>
      <c r="I671" s="633"/>
      <c r="J671" s="634"/>
    </row>
    <row r="672" spans="6:10" ht="30" customHeight="1" x14ac:dyDescent="0.25">
      <c r="F672" s="630">
        <v>1</v>
      </c>
      <c r="G672" s="631"/>
      <c r="H672" s="632"/>
      <c r="I672" s="633"/>
      <c r="J672" s="634"/>
    </row>
    <row r="673" spans="6:10" ht="30" customHeight="1" x14ac:dyDescent="0.25">
      <c r="F673" s="630">
        <v>1</v>
      </c>
      <c r="G673" s="631"/>
      <c r="H673" s="632"/>
      <c r="I673" s="633"/>
      <c r="J673" s="634"/>
    </row>
    <row r="674" spans="6:10" ht="30" customHeight="1" x14ac:dyDescent="0.25">
      <c r="F674" s="630">
        <v>1</v>
      </c>
      <c r="G674" s="631"/>
      <c r="H674" s="632"/>
      <c r="I674" s="633"/>
      <c r="J674" s="634"/>
    </row>
    <row r="675" spans="6:10" ht="30" customHeight="1" x14ac:dyDescent="0.25">
      <c r="F675" s="630">
        <v>1</v>
      </c>
      <c r="G675" s="631"/>
      <c r="H675" s="632"/>
      <c r="I675" s="633"/>
      <c r="J675" s="634"/>
    </row>
    <row r="676" spans="6:10" ht="30" customHeight="1" x14ac:dyDescent="0.25">
      <c r="F676" s="630">
        <v>1</v>
      </c>
      <c r="G676" s="631"/>
      <c r="H676" s="632"/>
      <c r="I676" s="633"/>
      <c r="J676" s="634"/>
    </row>
    <row r="677" spans="6:10" ht="30" customHeight="1" x14ac:dyDescent="0.25">
      <c r="F677" s="630">
        <v>1</v>
      </c>
      <c r="G677" s="631"/>
      <c r="H677" s="632"/>
      <c r="I677" s="633"/>
      <c r="J677" s="634"/>
    </row>
    <row r="678" spans="6:10" ht="30" customHeight="1" x14ac:dyDescent="0.25">
      <c r="F678" s="630">
        <v>1</v>
      </c>
      <c r="G678" s="631"/>
      <c r="H678" s="632"/>
      <c r="I678" s="633"/>
      <c r="J678" s="634"/>
    </row>
    <row r="679" spans="6:10" ht="30" customHeight="1" x14ac:dyDescent="0.25">
      <c r="F679" s="630">
        <v>1</v>
      </c>
      <c r="G679" s="631"/>
      <c r="H679" s="632"/>
      <c r="I679" s="633"/>
      <c r="J679" s="634"/>
    </row>
    <row r="680" spans="6:10" ht="30" customHeight="1" x14ac:dyDescent="0.25">
      <c r="F680" s="630">
        <v>1</v>
      </c>
      <c r="G680" s="631"/>
      <c r="H680" s="632"/>
      <c r="I680" s="633"/>
      <c r="J680" s="634"/>
    </row>
    <row r="681" spans="6:10" ht="30" customHeight="1" x14ac:dyDescent="0.25">
      <c r="F681" s="630">
        <v>1</v>
      </c>
      <c r="G681" s="631"/>
      <c r="H681" s="632"/>
      <c r="I681" s="633"/>
      <c r="J681" s="634"/>
    </row>
    <row r="682" spans="6:10" ht="30" customHeight="1" x14ac:dyDescent="0.25">
      <c r="F682" s="630">
        <v>1</v>
      </c>
      <c r="G682" s="631"/>
      <c r="H682" s="632"/>
      <c r="I682" s="633"/>
      <c r="J682" s="634"/>
    </row>
    <row r="683" spans="6:10" ht="30" customHeight="1" x14ac:dyDescent="0.25">
      <c r="F683" s="630">
        <v>1</v>
      </c>
      <c r="G683" s="631"/>
      <c r="H683" s="632"/>
      <c r="I683" s="633"/>
      <c r="J683" s="634"/>
    </row>
    <row r="684" spans="6:10" ht="30" customHeight="1" x14ac:dyDescent="0.25">
      <c r="F684" s="630">
        <v>1</v>
      </c>
      <c r="G684" s="631"/>
      <c r="H684" s="632"/>
      <c r="I684" s="633"/>
      <c r="J684" s="634"/>
    </row>
    <row r="685" spans="6:10" ht="30" customHeight="1" x14ac:dyDescent="0.25">
      <c r="F685" s="630">
        <v>1</v>
      </c>
      <c r="G685" s="631"/>
      <c r="H685" s="632"/>
      <c r="I685" s="633"/>
      <c r="J685" s="634"/>
    </row>
    <row r="686" spans="6:10" ht="30" customHeight="1" x14ac:dyDescent="0.25">
      <c r="F686" s="630">
        <v>1</v>
      </c>
      <c r="G686" s="631"/>
      <c r="H686" s="632"/>
      <c r="I686" s="633"/>
      <c r="J686" s="634"/>
    </row>
    <row r="687" spans="6:10" ht="30" customHeight="1" x14ac:dyDescent="0.25">
      <c r="F687" s="630">
        <v>1</v>
      </c>
      <c r="G687" s="631"/>
      <c r="H687" s="632"/>
      <c r="I687" s="633"/>
      <c r="J687" s="634"/>
    </row>
    <row r="688" spans="6:10" ht="30" customHeight="1" x14ac:dyDescent="0.25">
      <c r="F688" s="630">
        <v>1</v>
      </c>
      <c r="G688" s="631"/>
      <c r="H688" s="632"/>
      <c r="I688" s="633"/>
      <c r="J688" s="634"/>
    </row>
    <row r="689" spans="6:10" ht="30" customHeight="1" x14ac:dyDescent="0.25">
      <c r="F689" s="630">
        <v>1</v>
      </c>
      <c r="G689" s="631"/>
      <c r="H689" s="632"/>
      <c r="I689" s="633"/>
      <c r="J689" s="634"/>
    </row>
    <row r="690" spans="6:10" ht="30" customHeight="1" x14ac:dyDescent="0.25">
      <c r="F690" s="630">
        <v>1</v>
      </c>
      <c r="G690" s="631"/>
      <c r="H690" s="632"/>
      <c r="I690" s="633"/>
      <c r="J690" s="634"/>
    </row>
    <row r="691" spans="6:10" ht="30" customHeight="1" x14ac:dyDescent="0.25">
      <c r="F691" s="630">
        <v>1</v>
      </c>
      <c r="G691" s="631"/>
      <c r="H691" s="632"/>
      <c r="I691" s="633"/>
      <c r="J691" s="634"/>
    </row>
    <row r="692" spans="6:10" ht="30" customHeight="1" x14ac:dyDescent="0.25">
      <c r="F692" s="630">
        <v>1</v>
      </c>
      <c r="G692" s="631"/>
      <c r="H692" s="632"/>
      <c r="I692" s="633"/>
      <c r="J692" s="634"/>
    </row>
    <row r="693" spans="6:10" ht="30" customHeight="1" x14ac:dyDescent="0.25">
      <c r="F693" s="630">
        <v>1</v>
      </c>
      <c r="G693" s="631"/>
      <c r="H693" s="632"/>
      <c r="I693" s="633"/>
      <c r="J693" s="634"/>
    </row>
    <row r="694" spans="6:10" ht="30" customHeight="1" x14ac:dyDescent="0.25">
      <c r="F694" s="630">
        <v>1</v>
      </c>
      <c r="G694" s="631"/>
      <c r="H694" s="632"/>
      <c r="I694" s="633"/>
      <c r="J694" s="634"/>
    </row>
    <row r="695" spans="6:10" ht="30" customHeight="1" x14ac:dyDescent="0.25">
      <c r="F695" s="630">
        <v>1</v>
      </c>
      <c r="G695" s="631"/>
      <c r="H695" s="632"/>
      <c r="I695" s="633"/>
      <c r="J695" s="634"/>
    </row>
    <row r="696" spans="6:10" ht="30" customHeight="1" x14ac:dyDescent="0.25">
      <c r="F696" s="630">
        <v>1</v>
      </c>
      <c r="G696" s="631"/>
      <c r="H696" s="632"/>
      <c r="I696" s="633"/>
      <c r="J696" s="634"/>
    </row>
    <row r="697" spans="6:10" ht="30" customHeight="1" x14ac:dyDescent="0.25">
      <c r="F697" s="630">
        <v>1</v>
      </c>
      <c r="G697" s="631"/>
      <c r="H697" s="632"/>
      <c r="I697" s="633"/>
      <c r="J697" s="634"/>
    </row>
    <row r="698" spans="6:10" ht="30" customHeight="1" x14ac:dyDescent="0.25">
      <c r="F698" s="630">
        <v>1</v>
      </c>
      <c r="G698" s="631"/>
      <c r="H698" s="632"/>
      <c r="I698" s="633"/>
      <c r="J698" s="634"/>
    </row>
    <row r="699" spans="6:10" ht="30" customHeight="1" x14ac:dyDescent="0.25">
      <c r="F699" s="630">
        <v>1</v>
      </c>
      <c r="G699" s="631"/>
      <c r="H699" s="632"/>
      <c r="I699" s="633"/>
      <c r="J699" s="634"/>
    </row>
    <row r="700" spans="6:10" ht="30" customHeight="1" x14ac:dyDescent="0.25">
      <c r="F700" s="630">
        <v>1</v>
      </c>
      <c r="G700" s="631"/>
      <c r="H700" s="632"/>
      <c r="I700" s="633"/>
      <c r="J700" s="634"/>
    </row>
    <row r="3271" spans="6:6" x14ac:dyDescent="0.25">
      <c r="F3271" s="620">
        <v>1</v>
      </c>
    </row>
  </sheetData>
  <conditionalFormatting sqref="B1">
    <cfRule type="cellIs" dxfId="2" priority="2" operator="equal">
      <formula>"Mandatory"</formula>
    </cfRule>
  </conditionalFormatting>
  <conditionalFormatting sqref="B1:B1048576">
    <cfRule type="cellIs" dxfId="1" priority="3" operator="equal">
      <formula>"Mandatory"</formula>
    </cfRule>
    <cfRule type="cellIs" dxfId="0" priority="4" operator="equal">
      <formula>"Mandatory"</formula>
    </cfRule>
  </conditionalFormatting>
  <dataValidations count="1">
    <dataValidation type="list" allowBlank="1" showInputMessage="1" showErrorMessage="1" errorTitle="Invalid specification type" error="Please enter a Specification type from the drop-down list." sqref="B2:B600" xr:uid="{00000000-0002-0000-3200-000000000000}">
      <formula1>SpecType</formula1>
      <formula2>0</formula2>
    </dataValidation>
  </dataValidations>
  <printOptions horizontalCentered="1"/>
  <pageMargins left="0" right="0" top="0.95833333333333304" bottom="0.5" header="0.25" footer="0.25"/>
  <pageSetup scale="80" orientation="landscape" horizontalDpi="300" verticalDpi="300"/>
  <headerFooter>
    <oddHeader>&amp;C&amp;"Times New Roman,Bold"&amp;12CAD 
Functional Specifications&amp;R&amp;"Times New Roman,Bold"&amp;12&amp;A</oddHeader>
    <oddFooter>&amp;RPage &amp;P of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Q97"/>
  <sheetViews>
    <sheetView zoomScaleNormal="100" workbookViewId="0">
      <selection activeCell="D3" sqref="D3"/>
    </sheetView>
  </sheetViews>
  <sheetFormatPr defaultColWidth="28.3984375" defaultRowHeight="15.6" x14ac:dyDescent="0.3"/>
  <cols>
    <col min="1" max="1" width="10.59765625" style="113" customWidth="1"/>
    <col min="2" max="2" width="14.59765625" style="113" customWidth="1"/>
    <col min="3" max="3" width="65.59765625" style="114" customWidth="1"/>
    <col min="4" max="4" width="65.59765625" style="115" customWidth="1"/>
    <col min="5" max="5" width="10.59765625" style="116" hidden="1" customWidth="1"/>
    <col min="6" max="6" width="6.59765625" style="115" hidden="1" customWidth="1"/>
    <col min="7" max="7" width="30.59765625" style="115" customWidth="1"/>
    <col min="8" max="8" width="8.59765625" style="117" hidden="1" customWidth="1"/>
    <col min="9" max="11" width="8.59765625" style="118" hidden="1" customWidth="1"/>
    <col min="12" max="12" width="10.59765625" style="118" hidden="1" customWidth="1"/>
    <col min="13" max="13" width="10.59765625" style="118" customWidth="1"/>
    <col min="14" max="16" width="9.3984375" style="118" customWidth="1"/>
    <col min="17" max="16384" width="28.3984375" style="118"/>
  </cols>
  <sheetData>
    <row r="1" spans="1:17" s="124" customFormat="1" ht="105" customHeight="1" thickBot="1" x14ac:dyDescent="0.3">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122" t="s">
        <v>79</v>
      </c>
      <c r="I1" s="122" t="str">
        <f>'Support Data'!A25</f>
        <v>Spec Weight</v>
      </c>
      <c r="J1" s="122" t="str">
        <f>'Support Data'!A26</f>
        <v>Avail Weight</v>
      </c>
      <c r="K1" s="122" t="str">
        <f>'Support Data'!A27</f>
        <v>Score</v>
      </c>
      <c r="L1" s="839" t="s">
        <v>104</v>
      </c>
      <c r="M1" s="838"/>
    </row>
    <row r="2" spans="1:17" s="115" customFormat="1" x14ac:dyDescent="0.3">
      <c r="A2" s="125" t="s">
        <v>105</v>
      </c>
      <c r="B2" s="126"/>
      <c r="C2" s="127"/>
      <c r="D2" s="128"/>
      <c r="E2" s="129"/>
      <c r="F2" s="130"/>
      <c r="G2" s="840"/>
      <c r="H2" s="131">
        <f>COUNTA(B3:B68)</f>
        <v>50</v>
      </c>
      <c r="K2" s="115">
        <f>SUM(K3:K68)</f>
        <v>0</v>
      </c>
    </row>
    <row r="3" spans="1:17" s="115" customFormat="1" ht="43.35" customHeight="1" x14ac:dyDescent="0.3">
      <c r="A3" s="132" t="str">
        <f>IF(L3=1,"ALI-"&amp;TEXT(COUNTIF($L$3:L3, "1"), "0"), "")</f>
        <v>ALI-1</v>
      </c>
      <c r="B3" s="133" t="s">
        <v>43</v>
      </c>
      <c r="C3" s="134" t="s">
        <v>106</v>
      </c>
      <c r="D3" s="135"/>
      <c r="E3" s="136"/>
      <c r="F3" s="137"/>
      <c r="G3" s="137" t="s">
        <v>101</v>
      </c>
      <c r="H3" s="131">
        <f>COUNTIF(G:G,"=Select from Drop Down List")</f>
        <v>50</v>
      </c>
      <c r="I3" s="116">
        <f t="shared" ref="I3:I9" si="0">IF(NOT(ISBLANK($B3)),VLOOKUP($B3,specdata,2,FALSE()),"")</f>
        <v>1</v>
      </c>
      <c r="J3" s="116">
        <f t="shared" ref="J3:J9" si="1">VLOOKUP(G3,AvailabilityData,2,FALSE())</f>
        <v>0</v>
      </c>
      <c r="K3" s="116">
        <f t="shared" ref="K3:K9" si="2">I3*J3</f>
        <v>0</v>
      </c>
      <c r="L3" s="115">
        <v>1</v>
      </c>
      <c r="O3" s="857"/>
      <c r="P3" s="857"/>
      <c r="Q3" s="857"/>
    </row>
    <row r="4" spans="1:17" s="115" customFormat="1" ht="46.8" x14ac:dyDescent="0.3">
      <c r="A4" s="132" t="str">
        <f>IF(L4=1,"ALI-"&amp;TEXT(COUNTIF($L$3:L4, "1"), "0"), "")</f>
        <v>ALI-2</v>
      </c>
      <c r="B4" s="133" t="s">
        <v>43</v>
      </c>
      <c r="C4" s="134" t="s">
        <v>108</v>
      </c>
      <c r="D4" s="135"/>
      <c r="E4" s="136"/>
      <c r="F4" s="137"/>
      <c r="G4" s="137" t="s">
        <v>101</v>
      </c>
      <c r="H4" s="131">
        <f>COUNTIF(G:G,"=Function Available")</f>
        <v>0</v>
      </c>
      <c r="I4" s="116">
        <f t="shared" si="0"/>
        <v>1</v>
      </c>
      <c r="J4" s="116">
        <f t="shared" si="1"/>
        <v>0</v>
      </c>
      <c r="K4" s="116">
        <f t="shared" si="2"/>
        <v>0</v>
      </c>
      <c r="L4" s="115">
        <v>1</v>
      </c>
      <c r="O4" s="857"/>
      <c r="P4" s="857"/>
      <c r="Q4" s="857"/>
    </row>
    <row r="5" spans="1:17" ht="46.8" x14ac:dyDescent="0.3">
      <c r="A5" s="132" t="str">
        <f>IF(L5=1,"ALI-"&amp;TEXT(COUNTIF($L$3:L5, "1"), "0"), "")</f>
        <v>ALI-3</v>
      </c>
      <c r="B5" s="133" t="s">
        <v>43</v>
      </c>
      <c r="C5" s="134" t="s">
        <v>109</v>
      </c>
      <c r="D5" s="138"/>
      <c r="E5" s="139"/>
      <c r="F5" s="137"/>
      <c r="G5" s="137" t="s">
        <v>101</v>
      </c>
      <c r="H5" s="131">
        <f>COUNTIF(F:G,"=Function Not Available")</f>
        <v>0</v>
      </c>
      <c r="I5" s="116">
        <f t="shared" si="0"/>
        <v>1</v>
      </c>
      <c r="J5" s="116">
        <f t="shared" si="1"/>
        <v>0</v>
      </c>
      <c r="K5" s="116">
        <f t="shared" si="2"/>
        <v>0</v>
      </c>
      <c r="L5" s="115">
        <v>1</v>
      </c>
      <c r="M5" s="115"/>
      <c r="O5" s="857"/>
      <c r="P5" s="857"/>
      <c r="Q5" s="857"/>
    </row>
    <row r="6" spans="1:17" ht="30" customHeight="1" x14ac:dyDescent="0.3">
      <c r="A6" s="132" t="str">
        <f>IF(L6=1,"ALI-"&amp;TEXT(COUNTIF($L$3:L6, "1"), "0"), "")</f>
        <v>ALI-4</v>
      </c>
      <c r="B6" s="133" t="s">
        <v>43</v>
      </c>
      <c r="C6" s="134" t="s">
        <v>110</v>
      </c>
      <c r="D6" s="138"/>
      <c r="E6" s="139"/>
      <c r="F6" s="137"/>
      <c r="G6" s="137" t="s">
        <v>101</v>
      </c>
      <c r="H6" s="131">
        <f>COUNTIF(G:G,"=Exception")</f>
        <v>0</v>
      </c>
      <c r="I6" s="116">
        <f t="shared" si="0"/>
        <v>1</v>
      </c>
      <c r="J6" s="116">
        <f t="shared" si="1"/>
        <v>0</v>
      </c>
      <c r="K6" s="116">
        <f t="shared" si="2"/>
        <v>0</v>
      </c>
      <c r="L6" s="115">
        <v>1</v>
      </c>
      <c r="M6" s="115"/>
      <c r="O6" s="857"/>
      <c r="P6" s="857"/>
      <c r="Q6" s="857"/>
    </row>
    <row r="7" spans="1:17" ht="62.4" x14ac:dyDescent="0.3">
      <c r="A7" s="132" t="str">
        <f>IF(L7=1,"ALI-"&amp;TEXT(COUNTIF($L$3:L7, "1"), "0"), "")</f>
        <v>ALI-5</v>
      </c>
      <c r="B7" s="133" t="s">
        <v>43</v>
      </c>
      <c r="C7" s="134" t="s">
        <v>111</v>
      </c>
      <c r="D7" s="138"/>
      <c r="E7" s="139"/>
      <c r="F7" s="137"/>
      <c r="G7" s="137" t="s">
        <v>101</v>
      </c>
      <c r="H7" s="140">
        <f>COUNTIFS(B:B,"=Critical",G:G,"=Select from Drop Down List")</f>
        <v>3</v>
      </c>
      <c r="I7" s="116">
        <f t="shared" si="0"/>
        <v>1</v>
      </c>
      <c r="J7" s="116">
        <f t="shared" si="1"/>
        <v>0</v>
      </c>
      <c r="K7" s="116">
        <f t="shared" si="2"/>
        <v>0</v>
      </c>
      <c r="L7" s="115">
        <v>1</v>
      </c>
      <c r="M7" s="115"/>
    </row>
    <row r="8" spans="1:17" ht="30" customHeight="1" x14ac:dyDescent="0.3">
      <c r="A8" s="132" t="str">
        <f>IF(L8=1,"ALI-"&amp;TEXT(COUNTIF($L$3:L8, "1"), "0"), "")</f>
        <v>ALI-6</v>
      </c>
      <c r="B8" s="133" t="s">
        <v>43</v>
      </c>
      <c r="C8" s="134" t="s">
        <v>112</v>
      </c>
      <c r="D8" s="138"/>
      <c r="E8" s="139"/>
      <c r="F8" s="137"/>
      <c r="G8" s="137" t="s">
        <v>101</v>
      </c>
      <c r="H8" s="140">
        <f>COUNTIFS(B:B,"=Critical",G:G,"=Function Available")</f>
        <v>0</v>
      </c>
      <c r="I8" s="116">
        <f t="shared" si="0"/>
        <v>1</v>
      </c>
      <c r="J8" s="116">
        <f t="shared" si="1"/>
        <v>0</v>
      </c>
      <c r="K8" s="116">
        <f t="shared" si="2"/>
        <v>0</v>
      </c>
      <c r="L8" s="115">
        <v>1</v>
      </c>
      <c r="M8" s="115"/>
    </row>
    <row r="9" spans="1:17" ht="62.4" x14ac:dyDescent="0.3">
      <c r="A9" s="132" t="str">
        <f>IF(L9=1,"ALI-"&amp;TEXT(COUNTIF($L$3:L9, "1"), "0"), "")</f>
        <v>ALI-7</v>
      </c>
      <c r="B9" s="133" t="s">
        <v>43</v>
      </c>
      <c r="C9" s="134" t="s">
        <v>113</v>
      </c>
      <c r="D9" s="138"/>
      <c r="E9" s="139"/>
      <c r="F9" s="137"/>
      <c r="G9" s="137" t="s">
        <v>101</v>
      </c>
      <c r="H9" s="140">
        <f>COUNTIFS(B:B,"=Critical",G:G,"=Function Not Available")</f>
        <v>0</v>
      </c>
      <c r="I9" s="116">
        <f t="shared" si="0"/>
        <v>1</v>
      </c>
      <c r="J9" s="116">
        <f t="shared" si="1"/>
        <v>0</v>
      </c>
      <c r="K9" s="116">
        <f t="shared" si="2"/>
        <v>0</v>
      </c>
      <c r="L9" s="115">
        <v>1</v>
      </c>
      <c r="M9" s="115"/>
    </row>
    <row r="10" spans="1:17" x14ac:dyDescent="0.3">
      <c r="A10" s="141"/>
      <c r="B10" s="141"/>
      <c r="C10" s="142" t="s">
        <v>114</v>
      </c>
      <c r="D10" s="143"/>
      <c r="E10" s="144"/>
      <c r="F10" s="145"/>
      <c r="G10" s="606"/>
      <c r="H10" s="140">
        <f>COUNTIFS(B:B,"=Critical",G:G,"=Exception")</f>
        <v>0</v>
      </c>
      <c r="I10" s="116"/>
      <c r="J10" s="116"/>
      <c r="K10" s="116"/>
    </row>
    <row r="11" spans="1:17" ht="46.8" x14ac:dyDescent="0.3">
      <c r="A11" s="132" t="str">
        <f>IF(L11=1,"ALI-"&amp;TEXT(COUNTIF($L$3:L11, "1"), "0"), "")</f>
        <v>ALI-8</v>
      </c>
      <c r="B11" s="133" t="s">
        <v>43</v>
      </c>
      <c r="C11" s="134" t="s">
        <v>115</v>
      </c>
      <c r="D11" s="138"/>
      <c r="E11" s="136"/>
      <c r="F11" s="137"/>
      <c r="G11" s="137" t="s">
        <v>101</v>
      </c>
      <c r="H11" s="146">
        <f>COUNTIFS(B:B,"=Important",G:G,"=Select from Drop Down List")</f>
        <v>42</v>
      </c>
      <c r="I11" s="116">
        <f t="shared" ref="I11:I15" si="3">IF(NOT(ISBLANK($B11)),VLOOKUP($B11,specdata,2,FALSE()),"")</f>
        <v>1</v>
      </c>
      <c r="J11" s="116">
        <f t="shared" ref="J11:J15" si="4">VLOOKUP(G11,AvailabilityData,2,FALSE())</f>
        <v>0</v>
      </c>
      <c r="K11" s="116">
        <f t="shared" ref="K11:K15" si="5">I11*J11</f>
        <v>0</v>
      </c>
      <c r="L11" s="115">
        <v>1</v>
      </c>
      <c r="M11" s="115"/>
    </row>
    <row r="12" spans="1:17" ht="31.2" x14ac:dyDescent="0.3">
      <c r="A12" s="132" t="str">
        <f>IF(L12=1,"ALI-"&amp;TEXT(COUNTIF($L$3:L12, "1"), "0"), "")</f>
        <v>ALI-9</v>
      </c>
      <c r="B12" s="133" t="s">
        <v>42</v>
      </c>
      <c r="C12" s="134" t="s">
        <v>116</v>
      </c>
      <c r="D12" s="138"/>
      <c r="E12" s="136"/>
      <c r="F12" s="137"/>
      <c r="G12" s="137" t="s">
        <v>101</v>
      </c>
      <c r="H12" s="146">
        <f>COUNTIFS(B:B,"=Important",G:G,"=Function Available")</f>
        <v>0</v>
      </c>
      <c r="I12" s="116">
        <f t="shared" si="3"/>
        <v>5</v>
      </c>
      <c r="J12" s="116">
        <f t="shared" si="4"/>
        <v>0</v>
      </c>
      <c r="K12" s="116">
        <f t="shared" si="5"/>
        <v>0</v>
      </c>
      <c r="L12" s="115">
        <v>1</v>
      </c>
      <c r="M12" s="115"/>
    </row>
    <row r="13" spans="1:17" ht="30" customHeight="1" x14ac:dyDescent="0.3">
      <c r="A13" s="132" t="str">
        <f>IF(L13=1,"ALI-"&amp;TEXT(COUNTIF($L$3:L13, "1"), "0"), "")</f>
        <v>ALI-10</v>
      </c>
      <c r="B13" s="133" t="s">
        <v>43</v>
      </c>
      <c r="C13" s="134" t="s">
        <v>117</v>
      </c>
      <c r="D13" s="138"/>
      <c r="E13" s="136"/>
      <c r="F13" s="137"/>
      <c r="G13" s="137" t="s">
        <v>101</v>
      </c>
      <c r="H13" s="146">
        <f>COUNTIFS(B:B,"=Important",G:G,"=Function Not Available")</f>
        <v>0</v>
      </c>
      <c r="I13" s="116">
        <f t="shared" si="3"/>
        <v>1</v>
      </c>
      <c r="J13" s="116">
        <f t="shared" si="4"/>
        <v>0</v>
      </c>
      <c r="K13" s="116">
        <f t="shared" si="5"/>
        <v>0</v>
      </c>
      <c r="L13" s="115">
        <v>1</v>
      </c>
      <c r="M13" s="115"/>
    </row>
    <row r="14" spans="1:17" ht="30" customHeight="1" x14ac:dyDescent="0.3">
      <c r="A14" s="132" t="str">
        <f>IF(L14=1,"ALI-"&amp;TEXT(COUNTIF($L$3:L14, "1"), "0"), "")</f>
        <v>ALI-11</v>
      </c>
      <c r="B14" s="133" t="s">
        <v>42</v>
      </c>
      <c r="C14" s="134" t="s">
        <v>118</v>
      </c>
      <c r="D14" s="138"/>
      <c r="E14" s="136"/>
      <c r="F14" s="137"/>
      <c r="G14" s="137" t="s">
        <v>101</v>
      </c>
      <c r="H14" s="146">
        <f>COUNTIFS(B:B,"=Important",G:G,"=Exception")</f>
        <v>0</v>
      </c>
      <c r="I14" s="116">
        <f t="shared" si="3"/>
        <v>5</v>
      </c>
      <c r="J14" s="116">
        <f t="shared" si="4"/>
        <v>0</v>
      </c>
      <c r="K14" s="116">
        <f t="shared" si="5"/>
        <v>0</v>
      </c>
      <c r="L14" s="115">
        <v>1</v>
      </c>
      <c r="M14" s="115"/>
    </row>
    <row r="15" spans="1:17" ht="35.25" customHeight="1" x14ac:dyDescent="0.3">
      <c r="A15" s="132" t="str">
        <f>IF(L15=1,"ALI-"&amp;TEXT(COUNTIF($L$3:L15, "1"), "0"), "")</f>
        <v>ALI-12</v>
      </c>
      <c r="B15" s="133" t="s">
        <v>43</v>
      </c>
      <c r="C15" s="134" t="s">
        <v>119</v>
      </c>
      <c r="D15" s="138"/>
      <c r="E15" s="136"/>
      <c r="F15" s="137"/>
      <c r="G15" s="137" t="s">
        <v>101</v>
      </c>
      <c r="H15" s="147">
        <f>COUNTIFS(B:B,"=Informational",G:G,"=Select from Drop Down List")</f>
        <v>5</v>
      </c>
      <c r="I15" s="116">
        <f t="shared" si="3"/>
        <v>1</v>
      </c>
      <c r="J15" s="116">
        <f t="shared" si="4"/>
        <v>0</v>
      </c>
      <c r="K15" s="116">
        <f t="shared" si="5"/>
        <v>0</v>
      </c>
      <c r="L15" s="115">
        <v>1</v>
      </c>
      <c r="M15" s="115"/>
    </row>
    <row r="16" spans="1:17" x14ac:dyDescent="0.3">
      <c r="A16" s="141"/>
      <c r="B16" s="141"/>
      <c r="C16" s="142" t="s">
        <v>120</v>
      </c>
      <c r="D16" s="143"/>
      <c r="E16" s="148"/>
      <c r="F16" s="145"/>
      <c r="G16" s="606"/>
      <c r="H16" s="147">
        <f>COUNTIFS(B:B,"=Informational",G:G,"=Function Available")</f>
        <v>0</v>
      </c>
      <c r="I16" s="116"/>
      <c r="J16" s="116"/>
      <c r="K16" s="116"/>
      <c r="L16" s="116"/>
      <c r="M16" s="116"/>
    </row>
    <row r="17" spans="1:13" ht="30" customHeight="1" x14ac:dyDescent="0.3">
      <c r="A17" s="132" t="str">
        <f>IF(L17=1,"ALI-"&amp;TEXT(COUNTIF($L$3:L17, "1"), "0"), "")</f>
        <v>ALI-13</v>
      </c>
      <c r="B17" s="133" t="s">
        <v>43</v>
      </c>
      <c r="C17" s="134" t="s">
        <v>121</v>
      </c>
      <c r="D17" s="138"/>
      <c r="E17" s="136"/>
      <c r="F17" s="137"/>
      <c r="G17" s="137" t="s">
        <v>101</v>
      </c>
      <c r="H17" s="147">
        <f>COUNTIFS(B:B,"=Informational",G:G,"=Function Not Available")</f>
        <v>0</v>
      </c>
      <c r="I17" s="116">
        <f>IF(NOT(ISBLANK($B17)),VLOOKUP($B17,specdata,2,FALSE()),"")</f>
        <v>1</v>
      </c>
      <c r="J17" s="116">
        <f>VLOOKUP(G17,AvailabilityData,2,FALSE())</f>
        <v>0</v>
      </c>
      <c r="K17" s="116">
        <f>I17*J17</f>
        <v>0</v>
      </c>
      <c r="L17" s="115">
        <v>1</v>
      </c>
      <c r="M17" s="115"/>
    </row>
    <row r="18" spans="1:13" ht="46.8" x14ac:dyDescent="0.3">
      <c r="A18" s="132" t="str">
        <f>IF(L18=1,"ALI-"&amp;TEXT(COUNTIF($L$3:L18, "1"), "0"), "")</f>
        <v>ALI-14</v>
      </c>
      <c r="B18" s="133" t="s">
        <v>43</v>
      </c>
      <c r="C18" s="134" t="s">
        <v>122</v>
      </c>
      <c r="D18" s="138"/>
      <c r="E18" s="136"/>
      <c r="F18" s="137"/>
      <c r="G18" s="137" t="s">
        <v>101</v>
      </c>
      <c r="H18" s="147">
        <f>COUNTIFS(B:B,"=Informational",G:G,"=Exception")</f>
        <v>0</v>
      </c>
      <c r="I18" s="116">
        <f>IF(NOT(ISBLANK($B18)),VLOOKUP($B18,specdata,2,FALSE()),"")</f>
        <v>1</v>
      </c>
      <c r="J18" s="116">
        <f>VLOOKUP(G18,AvailabilityData,2,FALSE())</f>
        <v>0</v>
      </c>
      <c r="K18" s="116">
        <f>I18*J18</f>
        <v>0</v>
      </c>
      <c r="L18" s="115">
        <v>1</v>
      </c>
      <c r="M18" s="115"/>
    </row>
    <row r="19" spans="1:13" ht="31.2" x14ac:dyDescent="0.3">
      <c r="A19" s="132" t="str">
        <f>IF(L19=1,"ALI-"&amp;TEXT(COUNTIF($L$3:L19, "1"), "0"), "")</f>
        <v>ALI-15</v>
      </c>
      <c r="B19" s="133" t="s">
        <v>43</v>
      </c>
      <c r="C19" s="134" t="s">
        <v>123</v>
      </c>
      <c r="D19" s="138"/>
      <c r="E19" s="136"/>
      <c r="F19" s="137"/>
      <c r="G19" s="137" t="s">
        <v>101</v>
      </c>
      <c r="I19" s="116">
        <f>IF(NOT(ISBLANK($B19)),VLOOKUP($B19,specdata,2,FALSE()),"")</f>
        <v>1</v>
      </c>
      <c r="J19" s="116">
        <f>VLOOKUP(G19,AvailabilityData,2,FALSE())</f>
        <v>0</v>
      </c>
      <c r="K19" s="116">
        <f>I19*J19</f>
        <v>0</v>
      </c>
      <c r="L19" s="115">
        <v>1</v>
      </c>
      <c r="M19" s="115"/>
    </row>
    <row r="20" spans="1:13" ht="35.25" customHeight="1" x14ac:dyDescent="0.3">
      <c r="A20" s="132" t="str">
        <f>IF(L20=1,"ALI-"&amp;TEXT(COUNTIF($L$3:L20, "1"), "0"), "")</f>
        <v>ALI-16</v>
      </c>
      <c r="B20" s="133" t="s">
        <v>43</v>
      </c>
      <c r="C20" s="134" t="s">
        <v>124</v>
      </c>
      <c r="D20" s="138"/>
      <c r="E20" s="136"/>
      <c r="F20" s="137"/>
      <c r="G20" s="137" t="s">
        <v>101</v>
      </c>
      <c r="I20" s="116">
        <f>IF(NOT(ISBLANK($B20)),VLOOKUP($B20,specdata,2,FALSE()),"")</f>
        <v>1</v>
      </c>
      <c r="J20" s="116">
        <f>VLOOKUP(G20,AvailabilityData,2,FALSE())</f>
        <v>0</v>
      </c>
      <c r="K20" s="116">
        <f>I20*J20</f>
        <v>0</v>
      </c>
      <c r="L20" s="115">
        <v>1</v>
      </c>
      <c r="M20" s="115"/>
    </row>
    <row r="21" spans="1:13" x14ac:dyDescent="0.3">
      <c r="A21" s="141"/>
      <c r="B21" s="141"/>
      <c r="C21" s="142" t="s">
        <v>125</v>
      </c>
      <c r="D21" s="143"/>
      <c r="E21" s="144"/>
      <c r="F21" s="145"/>
      <c r="G21" s="606"/>
      <c r="I21" s="116"/>
      <c r="J21" s="116"/>
      <c r="K21" s="116"/>
    </row>
    <row r="22" spans="1:13" ht="30" customHeight="1" x14ac:dyDescent="0.3">
      <c r="A22" s="132" t="str">
        <f>IF(L22=1,"ALI-"&amp;TEXT(COUNTIF($L$3:L22, "1"), "0"), "")</f>
        <v>ALI-17</v>
      </c>
      <c r="B22" s="133" t="s">
        <v>43</v>
      </c>
      <c r="C22" s="149" t="s">
        <v>126</v>
      </c>
      <c r="D22" s="138"/>
      <c r="E22" s="139"/>
      <c r="F22" s="137"/>
      <c r="G22" s="137" t="s">
        <v>101</v>
      </c>
      <c r="I22" s="116">
        <f>IF(NOT(ISBLANK($B22)),VLOOKUP($B22,specdata,2,FALSE()),"")</f>
        <v>1</v>
      </c>
      <c r="J22" s="116">
        <f>VLOOKUP(G22,AvailabilityData,2,FALSE())</f>
        <v>0</v>
      </c>
      <c r="K22" s="116">
        <f>I22*J22</f>
        <v>0</v>
      </c>
      <c r="L22" s="115">
        <v>1</v>
      </c>
      <c r="M22" s="115"/>
    </row>
    <row r="23" spans="1:13" ht="30" customHeight="1" x14ac:dyDescent="0.3">
      <c r="A23" s="132" t="str">
        <f>IF(L23=1,"ALI-"&amp;TEXT(COUNTIF($L$3:L23, "1"), "0"), "")</f>
        <v>ALI-18</v>
      </c>
      <c r="B23" s="133" t="s">
        <v>43</v>
      </c>
      <c r="C23" s="149" t="s">
        <v>127</v>
      </c>
      <c r="D23" s="138"/>
      <c r="E23" s="139"/>
      <c r="F23" s="137"/>
      <c r="G23" s="137" t="s">
        <v>101</v>
      </c>
      <c r="I23" s="116">
        <f>IF(NOT(ISBLANK($B23)),VLOOKUP($B23,specdata,2,FALSE()),"")</f>
        <v>1</v>
      </c>
      <c r="J23" s="116">
        <f>VLOOKUP(G23,AvailabilityData,2,FALSE())</f>
        <v>0</v>
      </c>
      <c r="K23" s="116">
        <f>I23*J23</f>
        <v>0</v>
      </c>
      <c r="L23" s="115">
        <v>1</v>
      </c>
      <c r="M23" s="115"/>
    </row>
    <row r="24" spans="1:13" ht="51" customHeight="1" x14ac:dyDescent="0.3">
      <c r="A24" s="132" t="str">
        <f>IF(L24=1,"ALI-"&amp;TEXT(COUNTIF($L$3:L24, "1"), "0"), "")</f>
        <v>ALI-19</v>
      </c>
      <c r="B24" s="133" t="s">
        <v>42</v>
      </c>
      <c r="C24" s="149" t="s">
        <v>128</v>
      </c>
      <c r="D24" s="150"/>
      <c r="E24" s="139"/>
      <c r="F24" s="137"/>
      <c r="G24" s="137" t="s">
        <v>101</v>
      </c>
      <c r="I24" s="116">
        <f>IF(NOT(ISBLANK($B24)),VLOOKUP($B24,specdata,2,FALSE()),"")</f>
        <v>5</v>
      </c>
      <c r="J24" s="116">
        <f>VLOOKUP(G24,AvailabilityData,2,FALSE())</f>
        <v>0</v>
      </c>
      <c r="K24" s="116">
        <f>I24*J24</f>
        <v>0</v>
      </c>
      <c r="L24" s="115">
        <v>1</v>
      </c>
      <c r="M24" s="115"/>
    </row>
    <row r="25" spans="1:13" ht="30" customHeight="1" x14ac:dyDescent="0.3">
      <c r="A25" s="132" t="str">
        <f>IF(L25=1,"ALI-"&amp;TEXT(COUNTIF($L$3:L25, "1"), "0"), "")</f>
        <v>ALI-20</v>
      </c>
      <c r="B25" s="643" t="s">
        <v>45</v>
      </c>
      <c r="C25" s="149" t="s">
        <v>129</v>
      </c>
      <c r="D25" s="138"/>
      <c r="E25" s="139"/>
      <c r="F25" s="137"/>
      <c r="G25" s="137" t="s">
        <v>101</v>
      </c>
      <c r="I25" s="116">
        <f>IF(NOT(ISBLANK($B25)),VLOOKUP($B25,specdata,2,FALSE()),"")</f>
        <v>0</v>
      </c>
      <c r="J25" s="116">
        <f>VLOOKUP(G25,AvailabilityData,2,FALSE())</f>
        <v>0</v>
      </c>
      <c r="K25" s="116">
        <f>I25*J25</f>
        <v>0</v>
      </c>
      <c r="L25" s="115">
        <v>1</v>
      </c>
      <c r="M25" s="115"/>
    </row>
    <row r="26" spans="1:13" ht="46.8" x14ac:dyDescent="0.3">
      <c r="A26" s="132" t="str">
        <f>IF(L26=1,"ALI-"&amp;TEXT(COUNTIF($L$3:L26, "1"), "0"), "")</f>
        <v>ALI-21</v>
      </c>
      <c r="B26" s="133" t="s">
        <v>43</v>
      </c>
      <c r="C26" s="149" t="s">
        <v>130</v>
      </c>
      <c r="D26" s="150"/>
      <c r="E26" s="139"/>
      <c r="F26" s="137"/>
      <c r="G26" s="137" t="s">
        <v>101</v>
      </c>
      <c r="I26" s="116">
        <f>IF(NOT(ISBLANK($B26)),VLOOKUP($B26,specdata,2,FALSE()),"")</f>
        <v>1</v>
      </c>
      <c r="J26" s="116">
        <f>VLOOKUP(G26,AvailabilityData,2,FALSE())</f>
        <v>0</v>
      </c>
      <c r="K26" s="116">
        <f>I26*J26</f>
        <v>0</v>
      </c>
      <c r="L26" s="115">
        <v>1</v>
      </c>
      <c r="M26" s="115"/>
    </row>
    <row r="27" spans="1:13" x14ac:dyDescent="0.3">
      <c r="A27" s="141"/>
      <c r="B27" s="141"/>
      <c r="C27" s="142" t="s">
        <v>131</v>
      </c>
      <c r="D27" s="151"/>
      <c r="E27" s="144"/>
      <c r="F27" s="145"/>
      <c r="G27" s="606"/>
      <c r="I27" s="116"/>
      <c r="J27" s="116"/>
      <c r="K27" s="116"/>
    </row>
    <row r="28" spans="1:13" ht="30" customHeight="1" x14ac:dyDescent="0.3">
      <c r="A28" s="132" t="str">
        <f>IF(L28=1,"ALI-"&amp;TEXT(COUNTIF($L$3:L28, "1"), "0"), "")</f>
        <v>ALI-22</v>
      </c>
      <c r="B28" s="133" t="s">
        <v>43</v>
      </c>
      <c r="C28" s="134" t="s">
        <v>132</v>
      </c>
      <c r="D28" s="138"/>
      <c r="E28" s="139"/>
      <c r="F28" s="137"/>
      <c r="G28" s="137" t="s">
        <v>101</v>
      </c>
      <c r="I28" s="116">
        <f>IF(NOT(ISBLANK($B28)),VLOOKUP($B28,specdata,2,FALSE()),"")</f>
        <v>1</v>
      </c>
      <c r="J28" s="116">
        <f>VLOOKUP(G28,AvailabilityData,2,FALSE())</f>
        <v>0</v>
      </c>
      <c r="K28" s="116">
        <f>I28*J28</f>
        <v>0</v>
      </c>
      <c r="L28" s="115">
        <v>1</v>
      </c>
      <c r="M28" s="115"/>
    </row>
    <row r="29" spans="1:13" ht="30" customHeight="1" x14ac:dyDescent="0.3">
      <c r="A29" s="132" t="str">
        <f>IF(L29=1,"ALI-"&amp;TEXT(COUNTIF($L$3:L29, "1"), "0"), "")</f>
        <v>ALI-23</v>
      </c>
      <c r="B29" s="133" t="s">
        <v>43</v>
      </c>
      <c r="C29" s="134" t="s">
        <v>133</v>
      </c>
      <c r="D29" s="138"/>
      <c r="E29" s="139"/>
      <c r="F29" s="137"/>
      <c r="G29" s="137" t="s">
        <v>101</v>
      </c>
      <c r="I29" s="116">
        <f>IF(NOT(ISBLANK($B29)),VLOOKUP($B29,specdata,2,FALSE()),"")</f>
        <v>1</v>
      </c>
      <c r="J29" s="116">
        <f>VLOOKUP(G29,AvailabilityData,2,FALSE())</f>
        <v>0</v>
      </c>
      <c r="K29" s="116">
        <f>I29*J29</f>
        <v>0</v>
      </c>
      <c r="L29" s="115">
        <v>1</v>
      </c>
      <c r="M29" s="115"/>
    </row>
    <row r="30" spans="1:13" x14ac:dyDescent="0.3">
      <c r="A30" s="141"/>
      <c r="B30" s="141"/>
      <c r="C30" s="142" t="s">
        <v>134</v>
      </c>
      <c r="D30" s="143"/>
      <c r="E30" s="148"/>
      <c r="F30" s="145"/>
      <c r="G30" s="606"/>
      <c r="I30" s="116"/>
      <c r="J30" s="116"/>
      <c r="K30" s="116"/>
    </row>
    <row r="31" spans="1:13" ht="30" customHeight="1" x14ac:dyDescent="0.3">
      <c r="A31" s="132" t="str">
        <f>IF(L31=1,"ALI-"&amp;TEXT(COUNTIF($L$3:L31, "1"), "0"), "")</f>
        <v>ALI-24</v>
      </c>
      <c r="B31" s="133" t="s">
        <v>43</v>
      </c>
      <c r="C31" s="134" t="s">
        <v>135</v>
      </c>
      <c r="D31" s="138"/>
      <c r="E31" s="136"/>
      <c r="F31" s="137"/>
      <c r="G31" s="137" t="s">
        <v>101</v>
      </c>
      <c r="I31" s="116">
        <f>IF(NOT(ISBLANK($B31)),VLOOKUP($B31,specdata,2,FALSE()),"")</f>
        <v>1</v>
      </c>
      <c r="J31" s="116">
        <f>VLOOKUP(G31,AvailabilityData,2,FALSE())</f>
        <v>0</v>
      </c>
      <c r="K31" s="116">
        <f>I31*J31</f>
        <v>0</v>
      </c>
      <c r="L31" s="115">
        <v>1</v>
      </c>
      <c r="M31" s="115"/>
    </row>
    <row r="32" spans="1:13" ht="30" customHeight="1" x14ac:dyDescent="0.3">
      <c r="A32" s="132" t="str">
        <f>IF(L32=1,"ALI-"&amp;TEXT(COUNTIF($L$3:L32, "1"), "0"), "")</f>
        <v>ALI-25</v>
      </c>
      <c r="B32" s="133" t="s">
        <v>43</v>
      </c>
      <c r="C32" s="134" t="s">
        <v>136</v>
      </c>
      <c r="D32" s="138"/>
      <c r="E32" s="139"/>
      <c r="F32" s="137"/>
      <c r="G32" s="137" t="s">
        <v>101</v>
      </c>
      <c r="I32" s="116">
        <f>IF(NOT(ISBLANK($B32)),VLOOKUP($B32,specdata,2,FALSE()),"")</f>
        <v>1</v>
      </c>
      <c r="J32" s="116">
        <f>VLOOKUP(G32,AvailabilityData,2,FALSE())</f>
        <v>0</v>
      </c>
      <c r="K32" s="116">
        <f>I32*J32</f>
        <v>0</v>
      </c>
      <c r="L32" s="115">
        <v>1</v>
      </c>
      <c r="M32" s="115"/>
    </row>
    <row r="33" spans="1:13" ht="30" customHeight="1" x14ac:dyDescent="0.3">
      <c r="A33" s="132" t="str">
        <f>IF(L33=1,"ALI-"&amp;TEXT(COUNTIF($L$3:L33, "1"), "0"), "")</f>
        <v>ALI-26</v>
      </c>
      <c r="B33" s="133" t="s">
        <v>43</v>
      </c>
      <c r="C33" s="134" t="s">
        <v>137</v>
      </c>
      <c r="D33" s="138"/>
      <c r="E33" s="139"/>
      <c r="F33" s="137"/>
      <c r="G33" s="137" t="s">
        <v>101</v>
      </c>
      <c r="I33" s="116">
        <f>IF(NOT(ISBLANK($B33)),VLOOKUP($B33,specdata,2,FALSE()),"")</f>
        <v>1</v>
      </c>
      <c r="J33" s="116">
        <f>VLOOKUP(G33,AvailabilityData,2,FALSE())</f>
        <v>0</v>
      </c>
      <c r="K33" s="116">
        <f>I33*J33</f>
        <v>0</v>
      </c>
      <c r="L33" s="115">
        <v>1</v>
      </c>
      <c r="M33" s="115"/>
    </row>
    <row r="34" spans="1:13" x14ac:dyDescent="0.3">
      <c r="A34" s="141"/>
      <c r="B34" s="141"/>
      <c r="C34" s="142" t="s">
        <v>138</v>
      </c>
      <c r="D34" s="143"/>
      <c r="E34" s="144"/>
      <c r="F34" s="145"/>
      <c r="G34" s="606"/>
      <c r="I34" s="116"/>
      <c r="J34" s="116"/>
      <c r="K34" s="116"/>
    </row>
    <row r="35" spans="1:13" ht="30" customHeight="1" x14ac:dyDescent="0.3">
      <c r="A35" s="132" t="str">
        <f>IF(L35=1,"ALI-"&amp;TEXT(COUNTIF($L$3:L35, "1"), "0"), "")</f>
        <v>ALI-27</v>
      </c>
      <c r="B35" s="133" t="s">
        <v>43</v>
      </c>
      <c r="C35" s="134" t="s">
        <v>139</v>
      </c>
      <c r="D35" s="138"/>
      <c r="E35" s="139"/>
      <c r="F35" s="137"/>
      <c r="G35" s="137" t="s">
        <v>101</v>
      </c>
      <c r="I35" s="116">
        <f>IF(NOT(ISBLANK($B35)),VLOOKUP($B35,specdata,2,FALSE()),"")</f>
        <v>1</v>
      </c>
      <c r="J35" s="116">
        <f>VLOOKUP(G35,AvailabilityData,2,FALSE())</f>
        <v>0</v>
      </c>
      <c r="K35" s="116">
        <f>I35*J35</f>
        <v>0</v>
      </c>
      <c r="L35" s="115">
        <v>1</v>
      </c>
      <c r="M35" s="115"/>
    </row>
    <row r="36" spans="1:13" x14ac:dyDescent="0.3">
      <c r="A36" s="141"/>
      <c r="B36" s="141"/>
      <c r="C36" s="142" t="s">
        <v>140</v>
      </c>
      <c r="D36" s="152"/>
      <c r="E36" s="144"/>
      <c r="F36" s="145"/>
      <c r="G36" s="606"/>
      <c r="I36" s="116"/>
      <c r="J36" s="116"/>
      <c r="K36" s="116"/>
    </row>
    <row r="37" spans="1:13" ht="46.8" x14ac:dyDescent="0.3">
      <c r="A37" s="132" t="str">
        <f>IF(L37=1,"ALI-"&amp;TEXT(COUNTIF($L$3:L37, "1"), "0"), "")</f>
        <v>ALI-28</v>
      </c>
      <c r="B37" s="133" t="s">
        <v>43</v>
      </c>
      <c r="C37" s="134" t="s">
        <v>141</v>
      </c>
      <c r="D37" s="153"/>
      <c r="E37" s="139"/>
      <c r="F37" s="137"/>
      <c r="G37" s="137" t="s">
        <v>101</v>
      </c>
      <c r="I37" s="116">
        <f t="shared" ref="I37:I42" si="6">IF(NOT(ISBLANK($B37)),VLOOKUP($B37,specdata,2,FALSE()),"")</f>
        <v>1</v>
      </c>
      <c r="J37" s="116">
        <f t="shared" ref="J37:J42" si="7">VLOOKUP(G37,AvailabilityData,2,FALSE())</f>
        <v>0</v>
      </c>
      <c r="K37" s="116">
        <f t="shared" ref="K37:K42" si="8">I37*J37</f>
        <v>0</v>
      </c>
      <c r="L37" s="115">
        <v>1</v>
      </c>
      <c r="M37" s="115"/>
    </row>
    <row r="38" spans="1:13" ht="31.2" x14ac:dyDescent="0.3">
      <c r="A38" s="132" t="str">
        <f>IF(L38=1,"ALI-"&amp;TEXT(COUNTIF($L$3:L38, "1"), "0"), "")</f>
        <v>ALI-29</v>
      </c>
      <c r="B38" s="133" t="s">
        <v>43</v>
      </c>
      <c r="C38" s="134" t="s">
        <v>142</v>
      </c>
      <c r="D38" s="153"/>
      <c r="E38" s="139"/>
      <c r="F38" s="137"/>
      <c r="G38" s="137" t="s">
        <v>101</v>
      </c>
      <c r="I38" s="116">
        <f t="shared" si="6"/>
        <v>1</v>
      </c>
      <c r="J38" s="116">
        <f t="shared" si="7"/>
        <v>0</v>
      </c>
      <c r="K38" s="116">
        <f t="shared" si="8"/>
        <v>0</v>
      </c>
      <c r="L38" s="115">
        <v>1</v>
      </c>
      <c r="M38" s="115"/>
    </row>
    <row r="39" spans="1:13" ht="31.2" x14ac:dyDescent="0.3">
      <c r="A39" s="132" t="str">
        <f>IF(L39=1,"ALI-"&amp;TEXT(COUNTIF($L$3:L39, "1"), "0"), "")</f>
        <v>ALI-30</v>
      </c>
      <c r="B39" s="133" t="s">
        <v>43</v>
      </c>
      <c r="C39" s="134" t="s">
        <v>143</v>
      </c>
      <c r="D39" s="153"/>
      <c r="E39" s="136"/>
      <c r="F39" s="137"/>
      <c r="G39" s="137" t="s">
        <v>101</v>
      </c>
      <c r="I39" s="116">
        <f t="shared" si="6"/>
        <v>1</v>
      </c>
      <c r="J39" s="116">
        <f t="shared" si="7"/>
        <v>0</v>
      </c>
      <c r="K39" s="116">
        <f t="shared" si="8"/>
        <v>0</v>
      </c>
      <c r="L39" s="115">
        <v>1</v>
      </c>
      <c r="M39" s="115"/>
    </row>
    <row r="40" spans="1:13" ht="46.8" x14ac:dyDescent="0.3">
      <c r="A40" s="132" t="str">
        <f>IF(L40=1,"ALI-"&amp;TEXT(COUNTIF($L$3:L40, "1"), "0"), "")</f>
        <v>ALI-31</v>
      </c>
      <c r="B40" s="133" t="s">
        <v>43</v>
      </c>
      <c r="C40" s="134" t="s">
        <v>144</v>
      </c>
      <c r="D40" s="153"/>
      <c r="E40" s="139"/>
      <c r="F40" s="137"/>
      <c r="G40" s="145" t="s">
        <v>101</v>
      </c>
      <c r="I40" s="116">
        <f t="shared" si="6"/>
        <v>1</v>
      </c>
      <c r="J40" s="116">
        <f t="shared" si="7"/>
        <v>0</v>
      </c>
      <c r="K40" s="116">
        <f t="shared" si="8"/>
        <v>0</v>
      </c>
      <c r="L40" s="115">
        <v>1</v>
      </c>
      <c r="M40" s="115"/>
    </row>
    <row r="41" spans="1:13" ht="30" customHeight="1" x14ac:dyDescent="0.3">
      <c r="A41" s="132" t="str">
        <f>IF(L41=1,"ALI-"&amp;TEXT(COUNTIF($L$3:L41, "1"), "0"), "")</f>
        <v>ALI-32</v>
      </c>
      <c r="B41" s="133" t="s">
        <v>43</v>
      </c>
      <c r="C41" s="134" t="s">
        <v>145</v>
      </c>
      <c r="D41" s="153"/>
      <c r="E41" s="139"/>
      <c r="F41" s="137"/>
      <c r="G41" s="145" t="s">
        <v>101</v>
      </c>
      <c r="I41" s="116">
        <f t="shared" si="6"/>
        <v>1</v>
      </c>
      <c r="J41" s="116">
        <f t="shared" si="7"/>
        <v>0</v>
      </c>
      <c r="K41" s="116">
        <f t="shared" si="8"/>
        <v>0</v>
      </c>
      <c r="L41" s="115">
        <v>1</v>
      </c>
      <c r="M41" s="115"/>
    </row>
    <row r="42" spans="1:13" ht="30" customHeight="1" x14ac:dyDescent="0.3">
      <c r="A42" s="132" t="str">
        <f>IF(L42=1,"ALI-"&amp;TEXT(COUNTIF($L$3:L42, "1"), "0"), "")</f>
        <v>ALI-33</v>
      </c>
      <c r="B42" s="133" t="s">
        <v>43</v>
      </c>
      <c r="C42" s="134" t="s">
        <v>146</v>
      </c>
      <c r="D42" s="153"/>
      <c r="E42" s="139"/>
      <c r="F42" s="137"/>
      <c r="G42" s="145" t="s">
        <v>101</v>
      </c>
      <c r="I42" s="116">
        <f t="shared" si="6"/>
        <v>1</v>
      </c>
      <c r="J42" s="116">
        <f t="shared" si="7"/>
        <v>0</v>
      </c>
      <c r="K42" s="116">
        <f t="shared" si="8"/>
        <v>0</v>
      </c>
      <c r="L42" s="115">
        <v>1</v>
      </c>
      <c r="M42" s="115"/>
    </row>
    <row r="43" spans="1:13" x14ac:dyDescent="0.3">
      <c r="A43" s="141"/>
      <c r="B43" s="141"/>
      <c r="C43" s="142" t="s">
        <v>147</v>
      </c>
      <c r="D43" s="152"/>
      <c r="E43" s="144"/>
      <c r="F43" s="145"/>
      <c r="G43" s="606"/>
      <c r="I43" s="116"/>
      <c r="J43" s="116"/>
      <c r="K43" s="116"/>
    </row>
    <row r="44" spans="1:13" ht="46.8" x14ac:dyDescent="0.3">
      <c r="A44" s="132" t="str">
        <f>IF(L44=1,"ALI-"&amp;TEXT(COUNTIF($L$3:L44, "1"), "0"), "")</f>
        <v>ALI-34</v>
      </c>
      <c r="B44" s="643" t="s">
        <v>45</v>
      </c>
      <c r="C44" s="134" t="s">
        <v>148</v>
      </c>
      <c r="D44" s="153"/>
      <c r="E44" s="139"/>
      <c r="F44" s="137"/>
      <c r="G44" s="145" t="s">
        <v>101</v>
      </c>
      <c r="I44" s="116">
        <f>IF(NOT(ISBLANK($B44)),VLOOKUP($B44,specdata,2,FALSE()),"")</f>
        <v>0</v>
      </c>
      <c r="J44" s="116">
        <f>VLOOKUP(G44,AvailabilityData,2,FALSE())</f>
        <v>0</v>
      </c>
      <c r="K44" s="116">
        <f>I44*J44</f>
        <v>0</v>
      </c>
      <c r="L44" s="115">
        <v>1</v>
      </c>
      <c r="M44" s="115"/>
    </row>
    <row r="45" spans="1:13" x14ac:dyDescent="0.3">
      <c r="A45" s="141"/>
      <c r="B45" s="141"/>
      <c r="C45" s="142" t="s">
        <v>149</v>
      </c>
      <c r="D45" s="152"/>
      <c r="E45" s="148"/>
      <c r="F45" s="145"/>
      <c r="G45" s="606"/>
      <c r="I45" s="116"/>
      <c r="J45" s="116"/>
      <c r="K45" s="116"/>
    </row>
    <row r="46" spans="1:13" ht="38.1" customHeight="1" x14ac:dyDescent="0.3">
      <c r="A46" s="132" t="str">
        <f>IF(L46=1,"ALI-"&amp;TEXT(COUNTIF($L$3:L46, "1"), "0"), "")</f>
        <v>ALI-35</v>
      </c>
      <c r="B46" s="133" t="s">
        <v>43</v>
      </c>
      <c r="C46" s="134" t="s">
        <v>150</v>
      </c>
      <c r="D46" s="153"/>
      <c r="E46" s="136"/>
      <c r="F46" s="137"/>
      <c r="G46" s="137" t="s">
        <v>101</v>
      </c>
      <c r="I46" s="116">
        <f>IF(NOT(ISBLANK($B46)),VLOOKUP($B46,specdata,2,FALSE()),"")</f>
        <v>1</v>
      </c>
      <c r="J46" s="116">
        <f>VLOOKUP(G46,AvailabilityData,2,FALSE())</f>
        <v>0</v>
      </c>
      <c r="K46" s="116">
        <f>I46*J46</f>
        <v>0</v>
      </c>
      <c r="L46" s="115">
        <v>1</v>
      </c>
      <c r="M46" s="115"/>
    </row>
    <row r="47" spans="1:13" ht="30" customHeight="1" x14ac:dyDescent="0.3">
      <c r="A47" s="132" t="str">
        <f>IF(L47=1,"ALI-"&amp;TEXT(COUNTIF($L$3:L47, "1"), "0"), "")</f>
        <v>ALI-36</v>
      </c>
      <c r="B47" s="133" t="s">
        <v>43</v>
      </c>
      <c r="C47" s="134" t="s">
        <v>151</v>
      </c>
      <c r="D47" s="138"/>
      <c r="E47" s="139"/>
      <c r="F47" s="137"/>
      <c r="G47" s="137" t="s">
        <v>101</v>
      </c>
      <c r="I47" s="116">
        <f>IF(NOT(ISBLANK($B47)),VLOOKUP($B47,specdata,2,FALSE()),"")</f>
        <v>1</v>
      </c>
      <c r="J47" s="116">
        <f>VLOOKUP(G47,AvailabilityData,2,FALSE())</f>
        <v>0</v>
      </c>
      <c r="K47" s="116">
        <f>I47*J47</f>
        <v>0</v>
      </c>
      <c r="L47" s="115">
        <v>1</v>
      </c>
      <c r="M47" s="115"/>
    </row>
    <row r="48" spans="1:13" x14ac:dyDescent="0.3">
      <c r="A48" s="141"/>
      <c r="B48" s="141"/>
      <c r="C48" s="142" t="s">
        <v>152</v>
      </c>
      <c r="D48" s="152"/>
      <c r="E48" s="144"/>
      <c r="F48" s="145"/>
      <c r="G48" s="606"/>
      <c r="I48" s="116"/>
      <c r="J48" s="116"/>
      <c r="K48" s="116"/>
    </row>
    <row r="49" spans="1:13" ht="46.8" x14ac:dyDescent="0.3">
      <c r="A49" s="132" t="str">
        <f>IF(L49=1,"ALI-"&amp;TEXT(COUNTIF($L$3:L49, "1"), "0"), "")</f>
        <v>ALI-37</v>
      </c>
      <c r="B49" s="133" t="s">
        <v>43</v>
      </c>
      <c r="C49" s="134" t="s">
        <v>153</v>
      </c>
      <c r="D49" s="153"/>
      <c r="E49" s="139"/>
      <c r="F49" s="137"/>
      <c r="G49" s="137" t="s">
        <v>101</v>
      </c>
      <c r="I49" s="116">
        <f>IF(NOT(ISBLANK($B49)),VLOOKUP($B49,specdata,2,FALSE()),"")</f>
        <v>1</v>
      </c>
      <c r="J49" s="116">
        <f>VLOOKUP(G49,AvailabilityData,2,FALSE())</f>
        <v>0</v>
      </c>
      <c r="K49" s="116">
        <f>I49*J49</f>
        <v>0</v>
      </c>
      <c r="L49" s="115">
        <v>1</v>
      </c>
      <c r="M49" s="115"/>
    </row>
    <row r="50" spans="1:13" x14ac:dyDescent="0.3">
      <c r="A50" s="141"/>
      <c r="B50" s="141"/>
      <c r="C50" s="142" t="s">
        <v>154</v>
      </c>
      <c r="D50" s="152"/>
      <c r="E50" s="144"/>
      <c r="F50" s="145"/>
      <c r="G50" s="606"/>
      <c r="I50" s="116"/>
      <c r="J50" s="116"/>
      <c r="K50" s="116"/>
    </row>
    <row r="51" spans="1:13" ht="30" customHeight="1" x14ac:dyDescent="0.3">
      <c r="A51" s="132" t="str">
        <f>IF(L51=1,"ALI-"&amp;TEXT(COUNTIF($L$3:L51, "1"), "0"), "")</f>
        <v>ALI-38</v>
      </c>
      <c r="B51" s="133" t="s">
        <v>43</v>
      </c>
      <c r="C51" s="134" t="s">
        <v>155</v>
      </c>
      <c r="D51" s="153"/>
      <c r="E51" s="136"/>
      <c r="F51" s="137"/>
      <c r="G51" s="137" t="s">
        <v>101</v>
      </c>
      <c r="I51" s="116">
        <f>IF(NOT(ISBLANK($B51)),VLOOKUP($B51,specdata,2,FALSE()),"")</f>
        <v>1</v>
      </c>
      <c r="J51" s="116">
        <f>VLOOKUP(G51,AvailabilityData,2,FALSE())</f>
        <v>0</v>
      </c>
      <c r="K51" s="116">
        <f>I51*J51</f>
        <v>0</v>
      </c>
      <c r="L51" s="115">
        <v>1</v>
      </c>
      <c r="M51" s="115"/>
    </row>
    <row r="52" spans="1:13" ht="30" customHeight="1" x14ac:dyDescent="0.3">
      <c r="A52" s="132" t="str">
        <f>IF(L52=1,"ALI-"&amp;TEXT(COUNTIF($L$3:L52, "1"), "0"), "")</f>
        <v>ALI-39</v>
      </c>
      <c r="B52" s="133" t="s">
        <v>43</v>
      </c>
      <c r="C52" s="134" t="s">
        <v>156</v>
      </c>
      <c r="D52" s="138"/>
      <c r="E52" s="139"/>
      <c r="F52" s="137"/>
      <c r="G52" s="137" t="s">
        <v>101</v>
      </c>
      <c r="I52" s="116">
        <f>IF(NOT(ISBLANK($B52)),VLOOKUP($B52,specdata,2,FALSE()),"")</f>
        <v>1</v>
      </c>
      <c r="J52" s="116">
        <f>VLOOKUP(G52,AvailabilityData,2,FALSE())</f>
        <v>0</v>
      </c>
      <c r="K52" s="116">
        <f>I52*J52</f>
        <v>0</v>
      </c>
      <c r="L52" s="115">
        <v>1</v>
      </c>
      <c r="M52" s="115"/>
    </row>
    <row r="53" spans="1:13" x14ac:dyDescent="0.3">
      <c r="A53" s="141"/>
      <c r="B53" s="141"/>
      <c r="C53" s="142" t="s">
        <v>157</v>
      </c>
      <c r="D53" s="143"/>
      <c r="E53" s="144"/>
      <c r="F53" s="145"/>
      <c r="G53" s="606"/>
      <c r="I53" s="116"/>
      <c r="J53" s="116"/>
      <c r="K53" s="116"/>
    </row>
    <row r="54" spans="1:13" ht="30" customHeight="1" x14ac:dyDescent="0.3">
      <c r="A54" s="132" t="str">
        <f>IF(L54=1,"ALI-"&amp;TEXT(COUNTIF($L$3:L54, "1"), "0"), "")</f>
        <v>ALI-40</v>
      </c>
      <c r="B54" s="133" t="s">
        <v>43</v>
      </c>
      <c r="C54" s="134" t="s">
        <v>158</v>
      </c>
      <c r="D54" s="138"/>
      <c r="E54" s="139"/>
      <c r="F54" s="137"/>
      <c r="G54" s="137" t="s">
        <v>101</v>
      </c>
      <c r="I54" s="116">
        <f>IF(NOT(ISBLANK($B54)),VLOOKUP($B54,specdata,2,FALSE()),"")</f>
        <v>1</v>
      </c>
      <c r="J54" s="116">
        <f>VLOOKUP(G54,AvailabilityData,2,FALSE())</f>
        <v>0</v>
      </c>
      <c r="K54" s="116">
        <f>I54*J54</f>
        <v>0</v>
      </c>
      <c r="L54" s="115">
        <v>1</v>
      </c>
      <c r="M54" s="115"/>
    </row>
    <row r="55" spans="1:13" ht="30" customHeight="1" x14ac:dyDescent="0.3">
      <c r="A55" s="132" t="str">
        <f>IF(L55=1,"ALI-"&amp;TEXT(COUNTIF($L$3:L55, "1"), "0"), "")</f>
        <v>ALI-41</v>
      </c>
      <c r="B55" s="133" t="s">
        <v>43</v>
      </c>
      <c r="C55" s="134" t="s">
        <v>159</v>
      </c>
      <c r="D55" s="138"/>
      <c r="E55" s="139"/>
      <c r="F55" s="137"/>
      <c r="G55" s="137" t="s">
        <v>101</v>
      </c>
      <c r="I55" s="116">
        <f>IF(NOT(ISBLANK($B55)),VLOOKUP($B55,specdata,2,FALSE()),"")</f>
        <v>1</v>
      </c>
      <c r="J55" s="116">
        <f>VLOOKUP(G55,AvailabilityData,2,FALSE())</f>
        <v>0</v>
      </c>
      <c r="K55" s="116">
        <f>I55*J55</f>
        <v>0</v>
      </c>
      <c r="L55" s="115">
        <v>1</v>
      </c>
      <c r="M55" s="115"/>
    </row>
    <row r="56" spans="1:13" ht="30" customHeight="1" x14ac:dyDescent="0.3">
      <c r="A56" s="132" t="str">
        <f>IF(L56=1,"ALI-"&amp;TEXT(COUNTIF($L$3:L56, "1"), "0"), "")</f>
        <v>ALI-42</v>
      </c>
      <c r="B56" s="133" t="s">
        <v>43</v>
      </c>
      <c r="C56" s="134" t="s">
        <v>160</v>
      </c>
      <c r="D56" s="138"/>
      <c r="E56" s="139"/>
      <c r="F56" s="137"/>
      <c r="G56" s="137" t="s">
        <v>101</v>
      </c>
      <c r="I56" s="116">
        <f>IF(NOT(ISBLANK($B56)),VLOOKUP($B56,specdata,2,FALSE()),"")</f>
        <v>1</v>
      </c>
      <c r="J56" s="116">
        <f>VLOOKUP(G56,AvailabilityData,2,FALSE())</f>
        <v>0</v>
      </c>
      <c r="K56" s="116">
        <f>I56*J56</f>
        <v>0</v>
      </c>
      <c r="L56" s="115">
        <v>1</v>
      </c>
      <c r="M56" s="115"/>
    </row>
    <row r="57" spans="1:13" x14ac:dyDescent="0.3">
      <c r="A57" s="141"/>
      <c r="B57" s="141"/>
      <c r="C57" s="142" t="s">
        <v>161</v>
      </c>
      <c r="D57" s="143"/>
      <c r="E57" s="144"/>
      <c r="F57" s="145"/>
      <c r="G57" s="606"/>
      <c r="I57" s="116"/>
      <c r="J57" s="116"/>
      <c r="K57" s="116"/>
    </row>
    <row r="58" spans="1:13" ht="30" customHeight="1" x14ac:dyDescent="0.3">
      <c r="A58" s="132" t="str">
        <f>IF(L58=1,"ALI-"&amp;TEXT(COUNTIF($L$3:L58, "1"), "0"), "")</f>
        <v>ALI-43</v>
      </c>
      <c r="B58" s="643" t="s">
        <v>45</v>
      </c>
      <c r="C58" s="134" t="s">
        <v>162</v>
      </c>
      <c r="D58" s="138"/>
      <c r="E58" s="139"/>
      <c r="F58" s="137"/>
      <c r="G58" s="137" t="s">
        <v>101</v>
      </c>
      <c r="I58" s="116">
        <f>IF(NOT(ISBLANK($B58)),VLOOKUP($B58,specdata,2,FALSE()),"")</f>
        <v>0</v>
      </c>
      <c r="J58" s="116">
        <f>VLOOKUP(G58,AvailabilityData,2,FALSE())</f>
        <v>0</v>
      </c>
      <c r="K58" s="116">
        <f>I58*J58</f>
        <v>0</v>
      </c>
      <c r="L58" s="115">
        <v>1</v>
      </c>
      <c r="M58" s="115"/>
    </row>
    <row r="59" spans="1:13" ht="46.8" x14ac:dyDescent="0.3">
      <c r="A59" s="132" t="str">
        <f>IF(L59=1,"ALI-"&amp;TEXT(COUNTIF($L$3:L59, "1"), "0"), "")</f>
        <v>ALI-44</v>
      </c>
      <c r="B59" s="643" t="s">
        <v>45</v>
      </c>
      <c r="C59" s="134" t="s">
        <v>163</v>
      </c>
      <c r="D59" s="138"/>
      <c r="E59" s="136"/>
      <c r="F59" s="137"/>
      <c r="G59" s="137" t="s">
        <v>101</v>
      </c>
      <c r="I59" s="116">
        <f>IF(NOT(ISBLANK($B59)),VLOOKUP($B59,specdata,2,FALSE()),"")</f>
        <v>0</v>
      </c>
      <c r="J59" s="116">
        <f>VLOOKUP(G59,AvailabilityData,2,FALSE())</f>
        <v>0</v>
      </c>
      <c r="K59" s="116">
        <f>I59*J59</f>
        <v>0</v>
      </c>
      <c r="L59" s="115">
        <v>1</v>
      </c>
      <c r="M59" s="115"/>
    </row>
    <row r="60" spans="1:13" ht="46.8" x14ac:dyDescent="0.3">
      <c r="A60" s="132" t="str">
        <f>IF(L60=1,"ALI-"&amp;TEXT(COUNTIF($L$3:L60, "1"), "0"), "")</f>
        <v>ALI-45</v>
      </c>
      <c r="B60" s="643" t="s">
        <v>45</v>
      </c>
      <c r="C60" s="134" t="s">
        <v>164</v>
      </c>
      <c r="D60" s="138"/>
      <c r="E60" s="139"/>
      <c r="F60" s="137"/>
      <c r="G60" s="137" t="s">
        <v>101</v>
      </c>
      <c r="I60" s="116">
        <f>IF(NOT(ISBLANK($B60)),VLOOKUP($B60,specdata,2,FALSE()),"")</f>
        <v>0</v>
      </c>
      <c r="J60" s="116">
        <f>VLOOKUP(G60,AvailabilityData,2,FALSE())</f>
        <v>0</v>
      </c>
      <c r="K60" s="116">
        <f>I60*J60</f>
        <v>0</v>
      </c>
      <c r="L60" s="115">
        <v>1</v>
      </c>
      <c r="M60" s="115"/>
    </row>
    <row r="61" spans="1:13" x14ac:dyDescent="0.3">
      <c r="A61" s="141"/>
      <c r="B61" s="141"/>
      <c r="C61" s="142" t="s">
        <v>168</v>
      </c>
      <c r="D61" s="143"/>
      <c r="E61" s="144"/>
      <c r="F61" s="145"/>
      <c r="G61" s="841"/>
      <c r="I61" s="116"/>
      <c r="J61" s="116"/>
      <c r="K61" s="116"/>
    </row>
    <row r="62" spans="1:13" x14ac:dyDescent="0.3">
      <c r="A62" s="141"/>
      <c r="B62" s="141"/>
      <c r="C62" s="155" t="s">
        <v>169</v>
      </c>
      <c r="D62" s="143"/>
      <c r="E62" s="144"/>
      <c r="F62" s="145"/>
      <c r="G62" s="606"/>
      <c r="I62" s="116"/>
      <c r="J62" s="116"/>
      <c r="K62" s="116"/>
    </row>
    <row r="63" spans="1:13" ht="30" customHeight="1" x14ac:dyDescent="0.3">
      <c r="A63" s="132" t="str">
        <f>IF(L63=1,"ALI-"&amp;TEXT(COUNTIF($L$3:L63, "1"), "0"), "")</f>
        <v>ALI-46</v>
      </c>
      <c r="B63" s="133" t="s">
        <v>43</v>
      </c>
      <c r="C63" s="154" t="s">
        <v>170</v>
      </c>
      <c r="D63" s="138"/>
      <c r="E63" s="136"/>
      <c r="F63" s="137"/>
      <c r="G63" s="137" t="s">
        <v>101</v>
      </c>
      <c r="I63" s="116">
        <f>IF(NOT(ISBLANK($B63)),VLOOKUP($B63,specdata,2,FALSE()),"")</f>
        <v>1</v>
      </c>
      <c r="J63" s="116">
        <f>VLOOKUP(G63,AvailabilityData,2,FALSE())</f>
        <v>0</v>
      </c>
      <c r="K63" s="116">
        <f>I63*J63</f>
        <v>0</v>
      </c>
      <c r="L63" s="115">
        <v>1</v>
      </c>
      <c r="M63" s="115"/>
    </row>
    <row r="64" spans="1:13" ht="30" customHeight="1" x14ac:dyDescent="0.3">
      <c r="A64" s="132" t="str">
        <f>IF(L64=1,"ALI-"&amp;TEXT(COUNTIF($L$3:L64, "1"), "0"), "")</f>
        <v>ALI-47</v>
      </c>
      <c r="B64" s="133" t="s">
        <v>43</v>
      </c>
      <c r="C64" s="154" t="s">
        <v>173</v>
      </c>
      <c r="D64" s="138"/>
      <c r="E64" s="136"/>
      <c r="F64" s="137"/>
      <c r="G64" s="137" t="s">
        <v>101</v>
      </c>
      <c r="I64" s="116">
        <f>IF(NOT(ISBLANK($B64)),VLOOKUP($B64,specdata,2,FALSE()),"")</f>
        <v>1</v>
      </c>
      <c r="J64" s="116">
        <f>VLOOKUP(G64,AvailabilityData,2,FALSE())</f>
        <v>0</v>
      </c>
      <c r="K64" s="116">
        <f>I64*J64</f>
        <v>0</v>
      </c>
      <c r="L64" s="115">
        <v>1</v>
      </c>
      <c r="M64" s="115"/>
    </row>
    <row r="65" spans="1:13" x14ac:dyDescent="0.3">
      <c r="A65" s="141"/>
      <c r="B65" s="141"/>
      <c r="C65" s="142" t="s">
        <v>174</v>
      </c>
      <c r="D65" s="143"/>
      <c r="E65" s="148"/>
      <c r="F65" s="145"/>
      <c r="G65" s="606"/>
      <c r="I65" s="116"/>
      <c r="J65" s="116"/>
      <c r="K65" s="116"/>
    </row>
    <row r="66" spans="1:13" ht="30" customHeight="1" x14ac:dyDescent="0.3">
      <c r="A66" s="132" t="str">
        <f>IF(L66=1,"ALI-"&amp;TEXT(COUNTIF($L$3:L66, "1"), "0"), "")</f>
        <v>ALI-48</v>
      </c>
      <c r="B66" s="133" t="s">
        <v>43</v>
      </c>
      <c r="C66" s="134" t="s">
        <v>175</v>
      </c>
      <c r="D66" s="138"/>
      <c r="E66" s="136"/>
      <c r="F66" s="137"/>
      <c r="G66" s="137" t="s">
        <v>101</v>
      </c>
      <c r="I66" s="116">
        <f>IF(NOT(ISBLANK($B66)),VLOOKUP($B66,specdata,2,FALSE()),"")</f>
        <v>1</v>
      </c>
      <c r="J66" s="116">
        <f>VLOOKUP(G66,AvailabilityData,2,FALSE())</f>
        <v>0</v>
      </c>
      <c r="K66" s="116">
        <f>I66*J66</f>
        <v>0</v>
      </c>
      <c r="L66" s="115">
        <v>1</v>
      </c>
      <c r="M66" s="115"/>
    </row>
    <row r="67" spans="1:13" ht="46.8" x14ac:dyDescent="0.3">
      <c r="A67" s="132" t="str">
        <f>IF(L67=1,"ALI-"&amp;TEXT(COUNTIF($L$3:L67, "1"), "0"), "")</f>
        <v>ALI-49</v>
      </c>
      <c r="B67" s="133" t="s">
        <v>43</v>
      </c>
      <c r="C67" s="134" t="s">
        <v>176</v>
      </c>
      <c r="D67" s="138"/>
      <c r="E67" s="136"/>
      <c r="F67" s="137"/>
      <c r="G67" s="137" t="s">
        <v>101</v>
      </c>
      <c r="I67" s="116">
        <f>IF(NOT(ISBLANK($B67)),VLOOKUP($B67,specdata,2,FALSE()),"")</f>
        <v>1</v>
      </c>
      <c r="J67" s="116">
        <f>VLOOKUP(G67,AvailabilityData,2,FALSE())</f>
        <v>0</v>
      </c>
      <c r="K67" s="116">
        <f>I67*J67</f>
        <v>0</v>
      </c>
      <c r="L67" s="115">
        <v>1</v>
      </c>
      <c r="M67" s="115"/>
    </row>
    <row r="68" spans="1:13" ht="30" customHeight="1" x14ac:dyDescent="0.3">
      <c r="A68" s="132" t="str">
        <f>IF(L68=1,"ALI-"&amp;TEXT(COUNTIF($L$3:L68, "1"), "0"), "")</f>
        <v>ALI-50</v>
      </c>
      <c r="B68" s="133" t="s">
        <v>43</v>
      </c>
      <c r="C68" s="134" t="s">
        <v>177</v>
      </c>
      <c r="D68" s="138"/>
      <c r="E68" s="136"/>
      <c r="F68" s="137"/>
      <c r="G68" s="137" t="s">
        <v>101</v>
      </c>
      <c r="I68" s="116">
        <f>IF(NOT(ISBLANK($B68)),VLOOKUP($B68,specdata,2,FALSE()),"")</f>
        <v>1</v>
      </c>
      <c r="J68" s="116">
        <f>VLOOKUP(G68,AvailabilityData,2,FALSE())</f>
        <v>0</v>
      </c>
      <c r="K68" s="116">
        <f>I68*J68</f>
        <v>0</v>
      </c>
      <c r="L68" s="115">
        <v>1</v>
      </c>
      <c r="M68" s="115"/>
    </row>
    <row r="69" spans="1:13" ht="30" customHeight="1" x14ac:dyDescent="0.3"/>
    <row r="70" spans="1:13" x14ac:dyDescent="0.3">
      <c r="C70" s="156"/>
    </row>
    <row r="71" spans="1:13" ht="30" customHeight="1" x14ac:dyDescent="0.3"/>
    <row r="72" spans="1:13" ht="30" customHeight="1" x14ac:dyDescent="0.3"/>
    <row r="73" spans="1:13" ht="30" customHeight="1" x14ac:dyDescent="0.3"/>
    <row r="74" spans="1:13" ht="30" customHeight="1" x14ac:dyDescent="0.3">
      <c r="H74" s="118"/>
    </row>
    <row r="75" spans="1:13" ht="30" customHeight="1" x14ac:dyDescent="0.3">
      <c r="H75" s="118"/>
    </row>
    <row r="76" spans="1:13" ht="30" customHeight="1" x14ac:dyDescent="0.3">
      <c r="H76" s="118"/>
    </row>
    <row r="77" spans="1:13" ht="30" customHeight="1" x14ac:dyDescent="0.3">
      <c r="H77" s="118"/>
    </row>
    <row r="78" spans="1:13" ht="30" customHeight="1" x14ac:dyDescent="0.3">
      <c r="H78" s="118"/>
    </row>
    <row r="79" spans="1:13" ht="30" customHeight="1" x14ac:dyDescent="0.3">
      <c r="H79" s="118"/>
    </row>
    <row r="80" spans="1:13" ht="45" customHeight="1" x14ac:dyDescent="0.3">
      <c r="H80" s="118"/>
    </row>
    <row r="81" spans="8:8" ht="30" customHeight="1" x14ac:dyDescent="0.3">
      <c r="H81" s="118"/>
    </row>
    <row r="82" spans="8:8" ht="30" customHeight="1" x14ac:dyDescent="0.3">
      <c r="H82" s="118"/>
    </row>
    <row r="83" spans="8:8" ht="30" customHeight="1" x14ac:dyDescent="0.3">
      <c r="H83" s="118"/>
    </row>
    <row r="84" spans="8:8" ht="30" customHeight="1" x14ac:dyDescent="0.3">
      <c r="H84" s="118"/>
    </row>
    <row r="85" spans="8:8" ht="30" customHeight="1" x14ac:dyDescent="0.3">
      <c r="H85" s="118"/>
    </row>
    <row r="86" spans="8:8" ht="30" customHeight="1" x14ac:dyDescent="0.3">
      <c r="H86" s="118"/>
    </row>
    <row r="87" spans="8:8" ht="30" customHeight="1" x14ac:dyDescent="0.3">
      <c r="H87" s="118"/>
    </row>
    <row r="88" spans="8:8" ht="30" customHeight="1" x14ac:dyDescent="0.3">
      <c r="H88" s="118"/>
    </row>
    <row r="89" spans="8:8" ht="30" customHeight="1" x14ac:dyDescent="0.3">
      <c r="H89" s="118"/>
    </row>
    <row r="90" spans="8:8" ht="30" customHeight="1" x14ac:dyDescent="0.3">
      <c r="H90" s="118"/>
    </row>
    <row r="91" spans="8:8" ht="30" customHeight="1" x14ac:dyDescent="0.3">
      <c r="H91" s="118"/>
    </row>
    <row r="92" spans="8:8" ht="30" customHeight="1" x14ac:dyDescent="0.3"/>
    <row r="93" spans="8:8" ht="30" customHeight="1" x14ac:dyDescent="0.3"/>
    <row r="94" spans="8:8" ht="30" customHeight="1" x14ac:dyDescent="0.3"/>
    <row r="95" spans="8:8" ht="30" customHeight="1" x14ac:dyDescent="0.3"/>
    <row r="96" spans="8:8" ht="30" customHeight="1" x14ac:dyDescent="0.3"/>
    <row r="97" ht="59.25" customHeight="1" x14ac:dyDescent="0.3"/>
  </sheetData>
  <sheetProtection algorithmName="SHA-512" hashValue="rJ7zloNQzKu0fboVjHG4uZ8cq5pfWXhWNpwng3TmHvPGxpI56EkoJN/8QLFtIf64qGJeQsuvwGmLqG6QxZbrwA==" saltValue="XgSqtXwkBuieG52BRksX2w==" spinCount="100000" sheet="1" objects="1" scenarios="1"/>
  <mergeCells count="1">
    <mergeCell ref="O3:Q6"/>
  </mergeCells>
  <conditionalFormatting sqref="B1:B1048576">
    <cfRule type="cellIs" dxfId="363" priority="2" operator="equal">
      <formula>"Minimal"</formula>
    </cfRule>
    <cfRule type="cellIs" dxfId="362" priority="3" operator="equal">
      <formula>"Not Needed"</formula>
    </cfRule>
    <cfRule type="cellIs" dxfId="361" priority="4" operator="equal">
      <formula>"Critical"</formula>
    </cfRule>
    <cfRule type="cellIs" dxfId="360" priority="5" operator="equal">
      <formula>"Extremely Advantageous"</formula>
    </cfRule>
  </conditionalFormatting>
  <conditionalFormatting sqref="G1:G1048576">
    <cfRule type="cellIs" dxfId="359" priority="6" operator="equal">
      <formula>"Exception"</formula>
    </cfRule>
    <cfRule type="cellIs" dxfId="358" priority="7" operator="equal">
      <formula>"Select from Drop Down List"</formula>
    </cfRule>
  </conditionalFormatting>
  <dataValidations count="2">
    <dataValidation type="list" allowBlank="1" showInputMessage="1" showErrorMessage="1" sqref="G3:G9 G11:G15 G17:G20 G22:G26 G28:G29 G31:G33 G35 G37:G42 G44 G46:G47 G49 G51:G52 G54:G56 G58:G60 G63:G64 G66:G68" xr:uid="{00000000-0002-0000-0400-000000000000}">
      <formula1>Availability</formula1>
      <formula2>0</formula2>
    </dataValidation>
    <dataValidation type="list" allowBlank="1" showInputMessage="1" showErrorMessage="1" errorTitle="Invalid specification type" error="Please enter a Specification type from the drop-down list." sqref="B3:B68" xr:uid="{00000000-0002-0000-0400-000001000000}">
      <formula1>SpecType</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8E5B1"/>
    <pageSetUpPr fitToPage="1"/>
  </sheetPr>
  <dimension ref="A1:P25"/>
  <sheetViews>
    <sheetView zoomScaleNormal="100" zoomScalePageLayoutView="90" workbookViewId="0">
      <selection activeCell="N3" sqref="N3"/>
    </sheetView>
  </sheetViews>
  <sheetFormatPr defaultColWidth="9" defaultRowHeight="15.6" x14ac:dyDescent="0.3"/>
  <cols>
    <col min="1" max="1" width="12.59765625" style="113" customWidth="1"/>
    <col min="2" max="2" width="14.59765625" style="113" customWidth="1"/>
    <col min="3" max="3" width="65.59765625" style="157" customWidth="1"/>
    <col min="4" max="4" width="65.59765625" style="115" customWidth="1"/>
    <col min="5" max="5" width="10.59765625" style="115" hidden="1" customWidth="1"/>
    <col min="6" max="6" width="6.59765625" style="115" hidden="1" customWidth="1"/>
    <col min="7" max="7" width="30.59765625" style="115" customWidth="1"/>
    <col min="8" max="11" width="8.59765625" style="131" hidden="1" customWidth="1"/>
    <col min="12" max="12" width="9" style="115" hidden="1"/>
    <col min="13" max="16384" width="9" style="115"/>
  </cols>
  <sheetData>
    <row r="1" spans="1:16" s="124" customFormat="1" ht="105" customHeight="1" x14ac:dyDescent="0.25">
      <c r="A1" s="158" t="s">
        <v>102</v>
      </c>
      <c r="B1" s="158" t="s">
        <v>103</v>
      </c>
      <c r="C1" s="158" t="str">
        <f>'Support Data'!A18</f>
        <v>Specifications</v>
      </c>
      <c r="D1" s="159" t="str">
        <f>'Support Data'!$A$19</f>
        <v>Contractor Work Area</v>
      </c>
      <c r="E1" s="159" t="str">
        <f>'Support Data'!A20</f>
        <v>Def ID</v>
      </c>
      <c r="F1" s="160" t="s">
        <v>78</v>
      </c>
      <c r="G1" s="159" t="str">
        <f>'Support Data'!A22</f>
        <v>Availability</v>
      </c>
      <c r="H1" s="123" t="str">
        <f>'Support Data'!A24</f>
        <v>Summary</v>
      </c>
      <c r="I1" s="123" t="str">
        <f>'Support Data'!A25</f>
        <v>Spec Weight</v>
      </c>
      <c r="J1" s="123" t="str">
        <f>'Support Data'!A26</f>
        <v>Avail Weight</v>
      </c>
      <c r="K1" s="123" t="str">
        <f>'Support Data'!A27</f>
        <v>Score</v>
      </c>
      <c r="L1" s="123" t="s">
        <v>104</v>
      </c>
    </row>
    <row r="2" spans="1:16" x14ac:dyDescent="0.3">
      <c r="A2" s="125" t="s">
        <v>178</v>
      </c>
      <c r="B2" s="161"/>
      <c r="C2" s="162"/>
      <c r="D2" s="128"/>
      <c r="E2" s="130"/>
      <c r="F2" s="130"/>
      <c r="G2" s="130"/>
      <c r="H2" s="131">
        <f>COUNTA(B3:B25)</f>
        <v>20</v>
      </c>
      <c r="K2" s="131">
        <f>SUM(K3:K25)</f>
        <v>0</v>
      </c>
    </row>
    <row r="3" spans="1:16" ht="43.35" customHeight="1" x14ac:dyDescent="0.3">
      <c r="A3" s="163" t="str">
        <f>IF(L3=1,"Accurint-"&amp;TEXT(COUNTIF($L$3:L3, "1"), "0"), "")</f>
        <v>Accurint-1</v>
      </c>
      <c r="B3" s="133" t="s">
        <v>43</v>
      </c>
      <c r="C3" s="164" t="s">
        <v>179</v>
      </c>
      <c r="D3" s="138"/>
      <c r="E3" s="165"/>
      <c r="F3" s="166"/>
      <c r="G3" s="166" t="s">
        <v>101</v>
      </c>
      <c r="H3" s="131">
        <f>COUNTIF(G:G,"=Select from Drop Down List")</f>
        <v>20</v>
      </c>
      <c r="I3" s="131">
        <f t="shared" ref="I3:I8" si="0">IF(NOT(ISBLANK($B3)),VLOOKUP($B3,specdata,2,FALSE()),"")</f>
        <v>1</v>
      </c>
      <c r="J3" s="131">
        <f t="shared" ref="J3:J8" si="1">VLOOKUP(G3,AvailabilityData,2,FALSE())</f>
        <v>0</v>
      </c>
      <c r="K3" s="131">
        <f t="shared" ref="K3:K8" si="2">I3*J3</f>
        <v>0</v>
      </c>
      <c r="L3" s="115">
        <v>1</v>
      </c>
      <c r="N3" s="858" t="s">
        <v>107</v>
      </c>
      <c r="O3" s="858"/>
      <c r="P3" s="858"/>
    </row>
    <row r="4" spans="1:16" ht="31.2" x14ac:dyDescent="0.3">
      <c r="A4" s="163" t="str">
        <f>IF(L4=1,"Accurint-"&amp;TEXT(COUNTIF($L$3:L4, "1"), "0"), "")</f>
        <v>Accurint-2</v>
      </c>
      <c r="B4" s="133" t="s">
        <v>43</v>
      </c>
      <c r="C4" s="164" t="s">
        <v>180</v>
      </c>
      <c r="D4" s="138"/>
      <c r="E4" s="167"/>
      <c r="F4" s="166"/>
      <c r="G4" s="166" t="s">
        <v>101</v>
      </c>
      <c r="H4" s="131">
        <f>COUNTIF(G:G,"=Function Available")</f>
        <v>0</v>
      </c>
      <c r="I4" s="131">
        <f t="shared" si="0"/>
        <v>1</v>
      </c>
      <c r="J4" s="131">
        <f t="shared" si="1"/>
        <v>0</v>
      </c>
      <c r="K4" s="131">
        <f t="shared" si="2"/>
        <v>0</v>
      </c>
      <c r="L4" s="115">
        <v>1</v>
      </c>
      <c r="N4" s="858"/>
      <c r="O4" s="858"/>
      <c r="P4" s="858"/>
    </row>
    <row r="5" spans="1:16" ht="30" customHeight="1" x14ac:dyDescent="0.3">
      <c r="A5" s="163" t="str">
        <f>IF(L5=1,"Accurint-"&amp;TEXT(COUNTIF($L$3:L5, "1"), "0"), "")</f>
        <v>Accurint-3</v>
      </c>
      <c r="B5" s="133" t="s">
        <v>43</v>
      </c>
      <c r="C5" s="164" t="s">
        <v>181</v>
      </c>
      <c r="D5" s="138"/>
      <c r="E5" s="167"/>
      <c r="F5" s="166"/>
      <c r="G5" s="166" t="s">
        <v>101</v>
      </c>
      <c r="H5" s="131">
        <f>COUNTIF(F:G,"=Function Not Available")</f>
        <v>0</v>
      </c>
      <c r="I5" s="131">
        <f t="shared" si="0"/>
        <v>1</v>
      </c>
      <c r="J5" s="131">
        <f t="shared" si="1"/>
        <v>0</v>
      </c>
      <c r="K5" s="131">
        <f t="shared" si="2"/>
        <v>0</v>
      </c>
      <c r="L5" s="115">
        <v>1</v>
      </c>
      <c r="N5" s="858"/>
      <c r="O5" s="858"/>
      <c r="P5" s="858"/>
    </row>
    <row r="6" spans="1:16" ht="30" customHeight="1" x14ac:dyDescent="0.3">
      <c r="A6" s="163" t="str">
        <f>IF(L6=1,"Accurint-"&amp;TEXT(COUNTIF($L$3:L6, "1"), "0"), "")</f>
        <v>Accurint-4</v>
      </c>
      <c r="B6" s="133" t="s">
        <v>43</v>
      </c>
      <c r="C6" s="164" t="s">
        <v>182</v>
      </c>
      <c r="D6" s="138"/>
      <c r="E6" s="168"/>
      <c r="F6" s="166"/>
      <c r="G6" s="166" t="s">
        <v>101</v>
      </c>
      <c r="H6" s="131">
        <f>COUNTIF(G:G,"=Exception")</f>
        <v>0</v>
      </c>
      <c r="I6" s="131">
        <f t="shared" si="0"/>
        <v>1</v>
      </c>
      <c r="J6" s="131">
        <f t="shared" si="1"/>
        <v>0</v>
      </c>
      <c r="K6" s="131">
        <f t="shared" si="2"/>
        <v>0</v>
      </c>
      <c r="L6" s="115">
        <v>1</v>
      </c>
      <c r="N6" s="858"/>
      <c r="O6" s="858"/>
      <c r="P6" s="858"/>
    </row>
    <row r="7" spans="1:16" ht="30" customHeight="1" x14ac:dyDescent="0.3">
      <c r="A7" s="163" t="str">
        <f>IF(L7=1,"Accurint-"&amp;TEXT(COUNTIF($L$3:L7, "1"), "0"), "")</f>
        <v>Accurint-5</v>
      </c>
      <c r="B7" s="169" t="s">
        <v>43</v>
      </c>
      <c r="C7" s="170" t="s">
        <v>183</v>
      </c>
      <c r="D7" s="171"/>
      <c r="E7" s="172"/>
      <c r="F7" s="173"/>
      <c r="G7" s="166" t="s">
        <v>101</v>
      </c>
      <c r="H7" s="140">
        <f>COUNTIFS(B:B,"=Critical",G:G,"=Select from Drop Down List")</f>
        <v>0</v>
      </c>
      <c r="I7" s="131">
        <f t="shared" si="0"/>
        <v>1</v>
      </c>
      <c r="J7" s="131">
        <f t="shared" si="1"/>
        <v>0</v>
      </c>
      <c r="K7" s="131">
        <f t="shared" si="2"/>
        <v>0</v>
      </c>
      <c r="L7" s="115">
        <v>1</v>
      </c>
    </row>
    <row r="8" spans="1:16" ht="30" customHeight="1" x14ac:dyDescent="0.3">
      <c r="A8" s="163" t="str">
        <f>IF(L8=1,"Accurint-"&amp;TEXT(COUNTIF($L$3:L8, "1"), "0"), "")</f>
        <v>Accurint-6</v>
      </c>
      <c r="B8" s="169" t="s">
        <v>43</v>
      </c>
      <c r="C8" s="170" t="s">
        <v>184</v>
      </c>
      <c r="D8" s="174"/>
      <c r="E8" s="175"/>
      <c r="F8" s="176"/>
      <c r="G8" s="177" t="s">
        <v>101</v>
      </c>
      <c r="H8" s="140">
        <f>COUNTIFS(B:B,"=Critical",G:G,"=Function Available")</f>
        <v>0</v>
      </c>
      <c r="I8" s="131">
        <f t="shared" si="0"/>
        <v>1</v>
      </c>
      <c r="J8" s="131">
        <f t="shared" si="1"/>
        <v>0</v>
      </c>
      <c r="K8" s="131">
        <f t="shared" si="2"/>
        <v>0</v>
      </c>
      <c r="L8" s="115">
        <v>1</v>
      </c>
    </row>
    <row r="9" spans="1:16" x14ac:dyDescent="0.3">
      <c r="A9" s="126" t="str">
        <f>IF(L9=1,"Accurint-"&amp;TEXT(COUNTIF($L$3:L9, "1"), "0"), "")</f>
        <v/>
      </c>
      <c r="B9" s="126"/>
      <c r="C9" s="178" t="s">
        <v>168</v>
      </c>
      <c r="D9" s="179"/>
      <c r="E9" s="180"/>
      <c r="F9" s="181"/>
      <c r="G9" s="182"/>
      <c r="H9" s="140">
        <f>COUNTIFS(B:B,"=Critical",G:G,"=Function Not Available")</f>
        <v>0</v>
      </c>
    </row>
    <row r="10" spans="1:16" ht="30" customHeight="1" x14ac:dyDescent="0.3">
      <c r="A10" s="163" t="str">
        <f>IF(L10=1,"Accurint-"&amp;TEXT(COUNTIF($L$3:L10, "1"), "0"), "")</f>
        <v>Accurint-7</v>
      </c>
      <c r="B10" s="183" t="s">
        <v>43</v>
      </c>
      <c r="C10" s="184" t="s">
        <v>185</v>
      </c>
      <c r="D10" s="185"/>
      <c r="E10" s="186"/>
      <c r="F10" s="187"/>
      <c r="G10" s="188" t="s">
        <v>101</v>
      </c>
      <c r="H10" s="140">
        <f>COUNTIFS(B:B,"=Critical",G:G,"=Exception")</f>
        <v>0</v>
      </c>
      <c r="I10" s="131">
        <f t="shared" ref="I10:I16" si="3">IF(NOT(ISBLANK($B10)),VLOOKUP($B10,specdata,2,FALSE()),"")</f>
        <v>1</v>
      </c>
      <c r="J10" s="131">
        <f t="shared" ref="J10:J16" si="4">VLOOKUP(G10,AvailabilityData,2,FALSE())</f>
        <v>0</v>
      </c>
      <c r="K10" s="131">
        <f t="shared" ref="K10:K16" si="5">I10*J10</f>
        <v>0</v>
      </c>
      <c r="L10" s="115">
        <v>1</v>
      </c>
    </row>
    <row r="11" spans="1:16" ht="30" customHeight="1" x14ac:dyDescent="0.3">
      <c r="A11" s="163" t="str">
        <f>IF(L11=1,"Accurint-"&amp;TEXT(COUNTIF($L$3:L11, "1"), "0"), "")</f>
        <v>Accurint-8</v>
      </c>
      <c r="B11" s="133" t="s">
        <v>43</v>
      </c>
      <c r="C11" s="154" t="s">
        <v>170</v>
      </c>
      <c r="D11" s="138"/>
      <c r="E11" s="168"/>
      <c r="F11" s="137"/>
      <c r="G11" s="189" t="s">
        <v>101</v>
      </c>
      <c r="H11" s="146">
        <f>COUNTIFS(B:B,"=Important",G:G,"=Select from Drop Down List")</f>
        <v>20</v>
      </c>
      <c r="I11" s="131">
        <f t="shared" si="3"/>
        <v>1</v>
      </c>
      <c r="J11" s="131">
        <f t="shared" si="4"/>
        <v>0</v>
      </c>
      <c r="K11" s="131">
        <f t="shared" si="5"/>
        <v>0</v>
      </c>
      <c r="L11" s="115">
        <v>1</v>
      </c>
    </row>
    <row r="12" spans="1:16" ht="45" customHeight="1" x14ac:dyDescent="0.3">
      <c r="A12" s="163" t="str">
        <f>IF(L12=1,"Accurint-"&amp;TEXT(COUNTIF($L$3:L12, "1"), "0"), "")</f>
        <v>Accurint-9</v>
      </c>
      <c r="B12" s="133" t="s">
        <v>43</v>
      </c>
      <c r="C12" s="154" t="s">
        <v>171</v>
      </c>
      <c r="D12" s="138"/>
      <c r="E12" s="168"/>
      <c r="F12" s="137"/>
      <c r="G12" s="189" t="s">
        <v>101</v>
      </c>
      <c r="H12" s="146">
        <f>COUNTIFS(B:B,"=Important",G:G,"=Function Available")</f>
        <v>0</v>
      </c>
      <c r="I12" s="131">
        <f t="shared" si="3"/>
        <v>1</v>
      </c>
      <c r="J12" s="131">
        <f t="shared" si="4"/>
        <v>0</v>
      </c>
      <c r="K12" s="131">
        <f t="shared" si="5"/>
        <v>0</v>
      </c>
      <c r="L12" s="115">
        <v>1</v>
      </c>
    </row>
    <row r="13" spans="1:16" ht="30" customHeight="1" x14ac:dyDescent="0.3">
      <c r="A13" s="163" t="str">
        <f>IF(L13=1,"Accurint-"&amp;TEXT(COUNTIF($L$3:L13, "1"), "0"), "")</f>
        <v>Accurint-10</v>
      </c>
      <c r="B13" s="133" t="s">
        <v>43</v>
      </c>
      <c r="C13" s="154" t="s">
        <v>172</v>
      </c>
      <c r="D13" s="138"/>
      <c r="E13" s="168"/>
      <c r="F13" s="137"/>
      <c r="G13" s="189" t="s">
        <v>101</v>
      </c>
      <c r="H13" s="146">
        <f>COUNTIFS(B:B,"=Important",G:G,"=Function Not Available")</f>
        <v>0</v>
      </c>
      <c r="I13" s="131">
        <f t="shared" si="3"/>
        <v>1</v>
      </c>
      <c r="J13" s="131">
        <f t="shared" si="4"/>
        <v>0</v>
      </c>
      <c r="K13" s="131">
        <f t="shared" si="5"/>
        <v>0</v>
      </c>
      <c r="L13" s="115">
        <v>1</v>
      </c>
    </row>
    <row r="14" spans="1:16" ht="30" customHeight="1" x14ac:dyDescent="0.3">
      <c r="A14" s="163" t="str">
        <f>IF(L14=1,"Accurint-"&amp;TEXT(COUNTIF($L$3:L14, "1"), "0"), "")</f>
        <v>Accurint-11</v>
      </c>
      <c r="B14" s="183" t="s">
        <v>43</v>
      </c>
      <c r="C14" s="190" t="s">
        <v>173</v>
      </c>
      <c r="D14" s="185"/>
      <c r="E14" s="186"/>
      <c r="F14" s="191"/>
      <c r="G14" s="166" t="s">
        <v>101</v>
      </c>
      <c r="H14" s="146">
        <f>COUNTIFS(B:B,"=Important",G:G,"=Exception")</f>
        <v>0</v>
      </c>
      <c r="I14" s="131">
        <f t="shared" si="3"/>
        <v>1</v>
      </c>
      <c r="J14" s="131">
        <f t="shared" si="4"/>
        <v>0</v>
      </c>
      <c r="K14" s="131">
        <f t="shared" si="5"/>
        <v>0</v>
      </c>
      <c r="L14" s="115">
        <v>1</v>
      </c>
    </row>
    <row r="15" spans="1:16" ht="30" customHeight="1" x14ac:dyDescent="0.3">
      <c r="A15" s="163" t="str">
        <f>IF(L15=1,"Accurint-"&amp;TEXT(COUNTIF($L$3:L15, "1"), "0"), "")</f>
        <v>Accurint-12</v>
      </c>
      <c r="B15" s="133" t="s">
        <v>43</v>
      </c>
      <c r="C15" s="164" t="s">
        <v>186</v>
      </c>
      <c r="D15" s="138"/>
      <c r="E15" s="186"/>
      <c r="F15" s="166"/>
      <c r="G15" s="166" t="s">
        <v>101</v>
      </c>
      <c r="H15" s="147">
        <f>COUNTIFS(B:B,"=Informational",G:G,"=Select from Drop Down List")</f>
        <v>0</v>
      </c>
      <c r="I15" s="131">
        <f t="shared" si="3"/>
        <v>1</v>
      </c>
      <c r="J15" s="131">
        <f t="shared" si="4"/>
        <v>0</v>
      </c>
      <c r="K15" s="131">
        <f t="shared" si="5"/>
        <v>0</v>
      </c>
      <c r="L15" s="115">
        <v>1</v>
      </c>
    </row>
    <row r="16" spans="1:16" ht="46.8" x14ac:dyDescent="0.3">
      <c r="A16" s="163" t="str">
        <f>IF(L16=1,"Accurint-"&amp;TEXT(COUNTIF($L$3:L16, "1"), "0"), "")</f>
        <v>Accurint-13</v>
      </c>
      <c r="B16" s="169" t="s">
        <v>43</v>
      </c>
      <c r="C16" s="170" t="s">
        <v>187</v>
      </c>
      <c r="D16" s="192"/>
      <c r="E16" s="172"/>
      <c r="F16" s="173"/>
      <c r="G16" s="173" t="s">
        <v>101</v>
      </c>
      <c r="H16" s="147">
        <f>COUNTIFS(B:B,"=Informational",G:G,"=Function Available")</f>
        <v>0</v>
      </c>
      <c r="I16" s="131">
        <f t="shared" si="3"/>
        <v>1</v>
      </c>
      <c r="J16" s="131">
        <f t="shared" si="4"/>
        <v>0</v>
      </c>
      <c r="K16" s="131">
        <f t="shared" si="5"/>
        <v>0</v>
      </c>
      <c r="L16" s="115">
        <v>1</v>
      </c>
    </row>
    <row r="17" spans="1:12" x14ac:dyDescent="0.3">
      <c r="A17" s="126" t="str">
        <f>IF(L17=1,"Accurint-"&amp;TEXT(COUNTIF($L$3:L17, "1"), "0"), "")</f>
        <v/>
      </c>
      <c r="B17" s="126"/>
      <c r="C17" s="193" t="s">
        <v>165</v>
      </c>
      <c r="D17" s="194"/>
      <c r="E17" s="180"/>
      <c r="F17" s="181"/>
      <c r="G17" s="182"/>
      <c r="H17" s="147">
        <f>COUNTIFS(B:B,"=Informational",G:G,"=Function Not Available")</f>
        <v>0</v>
      </c>
    </row>
    <row r="18" spans="1:12" ht="30" customHeight="1" x14ac:dyDescent="0.3">
      <c r="A18" s="163" t="str">
        <f>IF(L18=1,"Accurint-"&amp;TEXT(COUNTIF($L$3:L18, "1"), "0"), "")</f>
        <v>Accurint-14</v>
      </c>
      <c r="B18" s="183" t="s">
        <v>43</v>
      </c>
      <c r="C18" s="184" t="s">
        <v>188</v>
      </c>
      <c r="D18" s="185"/>
      <c r="E18" s="186"/>
      <c r="F18" s="191"/>
      <c r="G18" s="191" t="s">
        <v>101</v>
      </c>
      <c r="H18" s="147">
        <f>COUNTIFS(B:B,"=Informational",G:G,"=Exception")</f>
        <v>0</v>
      </c>
      <c r="I18" s="131">
        <f>IF(NOT(ISBLANK($B18)),VLOOKUP($B18,specdata,2,FALSE()),"")</f>
        <v>1</v>
      </c>
      <c r="J18" s="131">
        <f>VLOOKUP(G18,AvailabilityData,2,FALSE())</f>
        <v>0</v>
      </c>
      <c r="K18" s="131">
        <f>I18*J18</f>
        <v>0</v>
      </c>
      <c r="L18" s="115">
        <v>1</v>
      </c>
    </row>
    <row r="19" spans="1:12" ht="30" customHeight="1" x14ac:dyDescent="0.3">
      <c r="A19" s="163" t="str">
        <f>IF(L19=1,"Accurint-"&amp;TEXT(COUNTIF($L$3:L19, "1"), "0"), "")</f>
        <v>Accurint-15</v>
      </c>
      <c r="B19" s="133" t="s">
        <v>43</v>
      </c>
      <c r="C19" s="164" t="s">
        <v>189</v>
      </c>
      <c r="D19" s="185"/>
      <c r="E19" s="186"/>
      <c r="F19" s="166"/>
      <c r="G19" s="166" t="s">
        <v>101</v>
      </c>
      <c r="H19" s="147"/>
      <c r="I19" s="131">
        <f>IF(NOT(ISBLANK($B19)),VLOOKUP($B19,specdata,2,FALSE()),"")</f>
        <v>1</v>
      </c>
      <c r="J19" s="131">
        <f>VLOOKUP(G19,AvailabilityData,2,FALSE())</f>
        <v>0</v>
      </c>
      <c r="K19" s="131">
        <f>I19*J19</f>
        <v>0</v>
      </c>
      <c r="L19" s="115">
        <v>1</v>
      </c>
    </row>
    <row r="20" spans="1:12" ht="30" customHeight="1" x14ac:dyDescent="0.3">
      <c r="A20" s="163" t="str">
        <f>IF(L20=1,"Accurint-"&amp;TEXT(COUNTIF($L$3:L20, "1"), "0"), "")</f>
        <v>Accurint-16</v>
      </c>
      <c r="B20" s="133" t="s">
        <v>43</v>
      </c>
      <c r="C20" s="164" t="s">
        <v>190</v>
      </c>
      <c r="D20" s="185"/>
      <c r="E20" s="186"/>
      <c r="F20" s="166"/>
      <c r="G20" s="166" t="s">
        <v>101</v>
      </c>
      <c r="H20" s="147"/>
      <c r="I20" s="131">
        <f>IF(NOT(ISBLANK($B20)),VLOOKUP($B20,specdata,2,FALSE()),"")</f>
        <v>1</v>
      </c>
      <c r="J20" s="131">
        <f>VLOOKUP(G20,AvailabilityData,2,FALSE())</f>
        <v>0</v>
      </c>
      <c r="K20" s="131">
        <f>I20*J20</f>
        <v>0</v>
      </c>
      <c r="L20" s="115">
        <v>1</v>
      </c>
    </row>
    <row r="21" spans="1:12" ht="30" customHeight="1" x14ac:dyDescent="0.3">
      <c r="A21" s="163" t="str">
        <f>IF(L21=1,"Accurint-"&amp;TEXT(COUNTIF($L$3:L21, "1"), "0"), "")</f>
        <v>Accurint-17</v>
      </c>
      <c r="B21" s="169" t="s">
        <v>43</v>
      </c>
      <c r="C21" s="170" t="s">
        <v>191</v>
      </c>
      <c r="D21" s="192"/>
      <c r="E21" s="172"/>
      <c r="F21" s="173"/>
      <c r="G21" s="173" t="s">
        <v>101</v>
      </c>
      <c r="I21" s="131">
        <f>IF(NOT(ISBLANK($B21)),VLOOKUP($B21,specdata,2,FALSE()),"")</f>
        <v>1</v>
      </c>
      <c r="J21" s="131">
        <f>VLOOKUP(G21,AvailabilityData,2,FALSE())</f>
        <v>0</v>
      </c>
      <c r="K21" s="131">
        <f>I21*J21</f>
        <v>0</v>
      </c>
      <c r="L21" s="115">
        <v>1</v>
      </c>
    </row>
    <row r="22" spans="1:12" x14ac:dyDescent="0.3">
      <c r="A22" s="126" t="str">
        <f>IF(L22=1,"Accurint-"&amp;TEXT(COUNTIF($L$3:L22, "1"), "0"), "")</f>
        <v/>
      </c>
      <c r="B22" s="126"/>
      <c r="C22" s="193" t="s">
        <v>174</v>
      </c>
      <c r="D22" s="194"/>
      <c r="E22" s="180"/>
      <c r="F22" s="181"/>
      <c r="G22" s="182"/>
    </row>
    <row r="23" spans="1:12" ht="30" customHeight="1" x14ac:dyDescent="0.3">
      <c r="A23" s="163" t="str">
        <f>IF(L23=1,"Accurint-"&amp;TEXT(COUNTIF($L$3:L23, "1"), "0"), "")</f>
        <v>Accurint-18</v>
      </c>
      <c r="B23" s="183" t="s">
        <v>43</v>
      </c>
      <c r="C23" s="184" t="s">
        <v>192</v>
      </c>
      <c r="D23" s="185"/>
      <c r="E23" s="186"/>
      <c r="F23" s="187"/>
      <c r="G23" s="191" t="s">
        <v>101</v>
      </c>
      <c r="I23" s="131">
        <f>IF(NOT(ISBLANK($B23)),VLOOKUP($B23,specdata,2,FALSE()),"")</f>
        <v>1</v>
      </c>
      <c r="J23" s="131">
        <f>VLOOKUP(G23,AvailabilityData,2,FALSE())</f>
        <v>0</v>
      </c>
      <c r="K23" s="131">
        <f>I23*J23</f>
        <v>0</v>
      </c>
      <c r="L23" s="115">
        <v>1</v>
      </c>
    </row>
    <row r="24" spans="1:12" ht="46.8" x14ac:dyDescent="0.3">
      <c r="A24" s="163" t="str">
        <f>IF(L24=1,"Accurint-"&amp;TEXT(COUNTIF($L$3:L24, "1"), "0"), "")</f>
        <v>Accurint-19</v>
      </c>
      <c r="B24" s="133" t="s">
        <v>43</v>
      </c>
      <c r="C24" s="164" t="s">
        <v>193</v>
      </c>
      <c r="D24" s="138"/>
      <c r="E24" s="168"/>
      <c r="F24" s="137"/>
      <c r="G24" s="173" t="s">
        <v>101</v>
      </c>
      <c r="I24" s="131">
        <f>IF(NOT(ISBLANK($B24)),VLOOKUP($B24,specdata,2,FALSE()),"")</f>
        <v>1</v>
      </c>
      <c r="J24" s="131">
        <f>VLOOKUP(G24,AvailabilityData,2,FALSE())</f>
        <v>0</v>
      </c>
      <c r="K24" s="131">
        <f>I24*J24</f>
        <v>0</v>
      </c>
      <c r="L24" s="115">
        <v>1</v>
      </c>
    </row>
    <row r="25" spans="1:12" ht="46.8" x14ac:dyDescent="0.3">
      <c r="A25" s="163" t="str">
        <f>IF(L25=1,"Accurint-"&amp;TEXT(COUNTIF($L$3:L25, "1"), "0"), "")</f>
        <v>Accurint-20</v>
      </c>
      <c r="B25" s="133" t="s">
        <v>43</v>
      </c>
      <c r="C25" s="164" t="s">
        <v>194</v>
      </c>
      <c r="D25" s="138"/>
      <c r="E25" s="168"/>
      <c r="F25" s="137"/>
      <c r="G25" s="173" t="s">
        <v>101</v>
      </c>
      <c r="I25" s="131">
        <f>IF(NOT(ISBLANK($B25)),VLOOKUP($B25,specdata,2,FALSE()),"")</f>
        <v>1</v>
      </c>
      <c r="J25" s="131">
        <f>VLOOKUP(G25,AvailabilityData,2,FALSE())</f>
        <v>0</v>
      </c>
      <c r="K25" s="131">
        <f>I25*J25</f>
        <v>0</v>
      </c>
      <c r="L25" s="115">
        <v>1</v>
      </c>
    </row>
  </sheetData>
  <mergeCells count="1">
    <mergeCell ref="N3:P6"/>
  </mergeCells>
  <conditionalFormatting sqref="A9">
    <cfRule type="cellIs" dxfId="357" priority="10" operator="equal">
      <formula>"Informational"</formula>
    </cfRule>
    <cfRule type="cellIs" dxfId="356" priority="11" operator="equal">
      <formula>"Not Needed"</formula>
    </cfRule>
    <cfRule type="cellIs" dxfId="355" priority="12" operator="equal">
      <formula>"Critical"</formula>
    </cfRule>
    <cfRule type="cellIs" dxfId="354" priority="13" operator="equal">
      <formula>"Extremely Advantageous"</formula>
    </cfRule>
  </conditionalFormatting>
  <conditionalFormatting sqref="A17">
    <cfRule type="cellIs" dxfId="353" priority="6" operator="equal">
      <formula>"Informational"</formula>
    </cfRule>
    <cfRule type="cellIs" dxfId="352" priority="7" operator="equal">
      <formula>"Not Needed"</formula>
    </cfRule>
    <cfRule type="cellIs" dxfId="351" priority="8" operator="equal">
      <formula>"Critical"</formula>
    </cfRule>
    <cfRule type="cellIs" dxfId="350" priority="9" operator="equal">
      <formula>"Extremely Advantageous"</formula>
    </cfRule>
  </conditionalFormatting>
  <conditionalFormatting sqref="A22">
    <cfRule type="cellIs" dxfId="349" priority="2" operator="equal">
      <formula>"Informational"</formula>
    </cfRule>
    <cfRule type="cellIs" dxfId="348" priority="3" operator="equal">
      <formula>"Not Needed"</formula>
    </cfRule>
    <cfRule type="cellIs" dxfId="347" priority="4" operator="equal">
      <formula>"Critical"</formula>
    </cfRule>
    <cfRule type="cellIs" dxfId="346" priority="5" operator="equal">
      <formula>"Extremely Advantageous"</formula>
    </cfRule>
  </conditionalFormatting>
  <conditionalFormatting sqref="B1:B2">
    <cfRule type="cellIs" dxfId="345" priority="20" operator="equal">
      <formula>"Mandatory"</formula>
    </cfRule>
  </conditionalFormatting>
  <conditionalFormatting sqref="B1:B1048576">
    <cfRule type="cellIs" dxfId="344" priority="14" operator="equal">
      <formula>"Informational"</formula>
    </cfRule>
    <cfRule type="cellIs" dxfId="343" priority="15" operator="equal">
      <formula>"Not Needed"</formula>
    </cfRule>
    <cfRule type="cellIs" dxfId="342" priority="16" operator="equal">
      <formula>"Critical"</formula>
    </cfRule>
    <cfRule type="cellIs" dxfId="341" priority="17" operator="equal">
      <formula>"Extremely Advantageous"</formula>
    </cfRule>
  </conditionalFormatting>
  <conditionalFormatting sqref="G1:G1048576">
    <cfRule type="cellIs" dxfId="340" priority="18" operator="equal">
      <formula>"Exception"</formula>
    </cfRule>
  </conditionalFormatting>
  <conditionalFormatting sqref="G3:G25">
    <cfRule type="cellIs" dxfId="339" priority="19"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25" xr:uid="{00000000-0002-0000-0500-000000000000}">
      <formula1>SpecType</formula1>
      <formula2>0</formula2>
    </dataValidation>
    <dataValidation type="list" allowBlank="1" showInputMessage="1" showErrorMessage="1" sqref="G3:G25" xr:uid="{00000000-0002-0000-0500-000001000000}">
      <formula1>Availability</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June 2024 ©&amp;R&amp;"Arial,Bold"&amp;10&amp;P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8E5B1"/>
    <pageSetUpPr fitToPage="1"/>
  </sheetPr>
  <dimension ref="A1:P30"/>
  <sheetViews>
    <sheetView topLeftCell="B1" zoomScaleNormal="100" zoomScalePageLayoutView="90" workbookViewId="0">
      <selection activeCell="G1" sqref="G1"/>
    </sheetView>
  </sheetViews>
  <sheetFormatPr defaultColWidth="9" defaultRowHeight="15.6" x14ac:dyDescent="0.3"/>
  <cols>
    <col min="1" max="1" width="12.59765625" style="113" customWidth="1"/>
    <col min="2" max="2" width="14.59765625" style="113" customWidth="1"/>
    <col min="3" max="3" width="65.59765625" style="233" customWidth="1"/>
    <col min="4" max="4" width="65.59765625" style="115" customWidth="1"/>
    <col min="5" max="5" width="10.59765625" style="115" hidden="1" customWidth="1"/>
    <col min="6" max="6" width="6.59765625" style="115" hidden="1" customWidth="1"/>
    <col min="7" max="7" width="30.59765625" style="115" customWidth="1"/>
    <col min="8" max="8" width="8.59765625" style="131" customWidth="1"/>
    <col min="9" max="11" width="8.59765625" style="115" customWidth="1"/>
    <col min="12" max="16384" width="9" style="115"/>
  </cols>
  <sheetData>
    <row r="1" spans="1:16" s="124" customFormat="1" ht="105" customHeight="1" x14ac:dyDescent="0.25">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c r="L1" s="123" t="s">
        <v>104</v>
      </c>
    </row>
    <row r="2" spans="1:16" x14ac:dyDescent="0.3">
      <c r="A2" s="125" t="s">
        <v>198</v>
      </c>
      <c r="B2" s="161"/>
      <c r="C2" s="234"/>
      <c r="D2" s="128"/>
      <c r="E2" s="130"/>
      <c r="F2" s="130"/>
      <c r="G2" s="130"/>
      <c r="H2" s="131">
        <f>COUNTA(B3:B26)</f>
        <v>21</v>
      </c>
      <c r="I2" s="235"/>
      <c r="J2" s="235"/>
      <c r="K2" s="236">
        <f>SUM(K3:K26)</f>
        <v>0</v>
      </c>
      <c r="L2" s="115">
        <f>COUNTA(B3:B26)</f>
        <v>21</v>
      </c>
    </row>
    <row r="3" spans="1:16" ht="43.35" customHeight="1" x14ac:dyDescent="0.3">
      <c r="A3" s="163" t="str">
        <f>IF(L3=1,"Arrest-"&amp;TEXT(COUNTIF($L$3:L3, "1"), "0"), "")</f>
        <v>Arrest-1</v>
      </c>
      <c r="B3" s="133" t="s">
        <v>43</v>
      </c>
      <c r="C3" s="237" t="s">
        <v>199</v>
      </c>
      <c r="D3" s="238"/>
      <c r="E3" s="239"/>
      <c r="F3" s="239"/>
      <c r="G3" s="137" t="s">
        <v>101</v>
      </c>
      <c r="H3" s="131">
        <f>COUNTIF(G:G,"=Select from Drop Down List")</f>
        <v>21</v>
      </c>
      <c r="I3" s="116">
        <f t="shared" ref="I3:I10" si="0">IF(NOT(ISBLANK($B3)),VLOOKUP($B3,specdata,2,FALSE()),"")</f>
        <v>1</v>
      </c>
      <c r="J3" s="116">
        <f t="shared" ref="J3:J10" si="1">VLOOKUP(G3,AvailabilityData,2,FALSE())</f>
        <v>0</v>
      </c>
      <c r="K3" s="116">
        <f t="shared" ref="K3:K10" si="2">I3*J3</f>
        <v>0</v>
      </c>
      <c r="L3" s="115">
        <v>1</v>
      </c>
      <c r="N3" s="858" t="s">
        <v>107</v>
      </c>
      <c r="O3" s="858"/>
      <c r="P3" s="858"/>
    </row>
    <row r="4" spans="1:16" ht="46.8" x14ac:dyDescent="0.3">
      <c r="A4" s="163" t="str">
        <f>IF(L4=1,"Arrest-"&amp;TEXT(COUNTIF($L$3:L4, "1"), "0"), "")</f>
        <v>Arrest-2</v>
      </c>
      <c r="B4" s="133" t="s">
        <v>43</v>
      </c>
      <c r="C4" s="237" t="s">
        <v>200</v>
      </c>
      <c r="D4" s="238"/>
      <c r="E4" s="239"/>
      <c r="F4" s="239"/>
      <c r="G4" s="137" t="s">
        <v>101</v>
      </c>
      <c r="H4" s="131">
        <f>COUNTIF(G:G,"=Function Available")</f>
        <v>0</v>
      </c>
      <c r="I4" s="116">
        <f t="shared" si="0"/>
        <v>1</v>
      </c>
      <c r="J4" s="116">
        <f t="shared" si="1"/>
        <v>0</v>
      </c>
      <c r="K4" s="116">
        <f t="shared" si="2"/>
        <v>0</v>
      </c>
      <c r="L4" s="115">
        <v>1</v>
      </c>
      <c r="N4" s="858"/>
      <c r="O4" s="858"/>
      <c r="P4" s="858"/>
    </row>
    <row r="5" spans="1:16" ht="46.8" x14ac:dyDescent="0.3">
      <c r="A5" s="163" t="str">
        <f>IF(L5=1,"Arrest-"&amp;TEXT(COUNTIF($L$3:L5, "1"), "0"), "")</f>
        <v>Arrest-3</v>
      </c>
      <c r="B5" s="133" t="s">
        <v>43</v>
      </c>
      <c r="C5" s="237" t="s">
        <v>201</v>
      </c>
      <c r="D5" s="238"/>
      <c r="E5" s="239"/>
      <c r="F5" s="239"/>
      <c r="G5" s="137" t="s">
        <v>101</v>
      </c>
      <c r="H5" s="131">
        <f>COUNTIF(F:G,"=Function Not Available")</f>
        <v>0</v>
      </c>
      <c r="I5" s="116">
        <f t="shared" si="0"/>
        <v>1</v>
      </c>
      <c r="J5" s="116">
        <f t="shared" si="1"/>
        <v>0</v>
      </c>
      <c r="K5" s="116">
        <f t="shared" si="2"/>
        <v>0</v>
      </c>
      <c r="L5" s="115">
        <v>1</v>
      </c>
      <c r="N5" s="858"/>
      <c r="O5" s="858"/>
      <c r="P5" s="858"/>
    </row>
    <row r="6" spans="1:16" ht="46.8" x14ac:dyDescent="0.3">
      <c r="A6" s="163" t="str">
        <f>IF(L6=1,"Arrest-"&amp;TEXT(COUNTIF($L$3:L6, "1"), "0"), "")</f>
        <v>Arrest-4</v>
      </c>
      <c r="B6" s="133" t="s">
        <v>43</v>
      </c>
      <c r="C6" s="237" t="s">
        <v>202</v>
      </c>
      <c r="D6" s="238"/>
      <c r="E6" s="239"/>
      <c r="F6" s="239"/>
      <c r="G6" s="137" t="s">
        <v>101</v>
      </c>
      <c r="H6" s="131">
        <f>COUNTIF(G:G,"=Exception")</f>
        <v>0</v>
      </c>
      <c r="I6" s="116">
        <f t="shared" si="0"/>
        <v>1</v>
      </c>
      <c r="J6" s="116">
        <f t="shared" si="1"/>
        <v>0</v>
      </c>
      <c r="K6" s="116">
        <f t="shared" si="2"/>
        <v>0</v>
      </c>
      <c r="L6" s="115">
        <v>1</v>
      </c>
      <c r="N6" s="858"/>
      <c r="O6" s="858"/>
      <c r="P6" s="858"/>
    </row>
    <row r="7" spans="1:16" ht="31.2" x14ac:dyDescent="0.3">
      <c r="A7" s="163" t="str">
        <f>IF(L7=1,"Arrest-"&amp;TEXT(COUNTIF($L$3:L7, "1"), "0"), "")</f>
        <v>Arrest-5</v>
      </c>
      <c r="B7" s="133" t="s">
        <v>43</v>
      </c>
      <c r="C7" s="237" t="s">
        <v>203</v>
      </c>
      <c r="D7" s="238"/>
      <c r="E7" s="239"/>
      <c r="F7" s="239"/>
      <c r="G7" s="240" t="s">
        <v>101</v>
      </c>
      <c r="H7" s="140">
        <f>COUNTIFS(B:B,"=Critical",G:G,"=Select from Drop Down List")</f>
        <v>0</v>
      </c>
      <c r="I7" s="116">
        <f t="shared" si="0"/>
        <v>1</v>
      </c>
      <c r="J7" s="116">
        <f t="shared" si="1"/>
        <v>0</v>
      </c>
      <c r="K7" s="116">
        <f t="shared" si="2"/>
        <v>0</v>
      </c>
      <c r="L7" s="115">
        <v>1</v>
      </c>
    </row>
    <row r="8" spans="1:16" ht="30" customHeight="1" x14ac:dyDescent="0.3">
      <c r="A8" s="163" t="str">
        <f>IF(L8=1,"Arrest-"&amp;TEXT(COUNTIF($L$3:L8, "1"), "0"), "")</f>
        <v>Arrest-6</v>
      </c>
      <c r="B8" s="133" t="s">
        <v>43</v>
      </c>
      <c r="C8" s="237" t="s">
        <v>204</v>
      </c>
      <c r="D8" s="241"/>
      <c r="E8" s="239"/>
      <c r="F8" s="239"/>
      <c r="G8" s="240" t="s">
        <v>101</v>
      </c>
      <c r="H8" s="140">
        <f>COUNTIFS(B:B,"=Critical",G:G,"=Function Available")</f>
        <v>0</v>
      </c>
      <c r="I8" s="116">
        <f t="shared" si="0"/>
        <v>1</v>
      </c>
      <c r="J8" s="116">
        <f t="shared" si="1"/>
        <v>0</v>
      </c>
      <c r="K8" s="116">
        <f t="shared" si="2"/>
        <v>0</v>
      </c>
      <c r="L8" s="115">
        <v>1</v>
      </c>
    </row>
    <row r="9" spans="1:16" ht="31.2" x14ac:dyDescent="0.3">
      <c r="A9" s="163" t="str">
        <f>IF(L9=1,"Arrest-"&amp;TEXT(COUNTIF($L$3:L9, "1"), "0"), "")</f>
        <v>Arrest-7</v>
      </c>
      <c r="B9" s="133" t="s">
        <v>43</v>
      </c>
      <c r="C9" s="237" t="s">
        <v>205</v>
      </c>
      <c r="D9" s="241"/>
      <c r="E9" s="239"/>
      <c r="F9" s="239"/>
      <c r="G9" s="242" t="s">
        <v>101</v>
      </c>
      <c r="H9" s="140">
        <f>COUNTIFS(B:B,"=Critical",G:G,"=Function Not Available")</f>
        <v>0</v>
      </c>
      <c r="I9" s="116">
        <f t="shared" si="0"/>
        <v>1</v>
      </c>
      <c r="J9" s="116">
        <f t="shared" si="1"/>
        <v>0</v>
      </c>
      <c r="K9" s="116">
        <f t="shared" si="2"/>
        <v>0</v>
      </c>
      <c r="L9" s="115">
        <v>1</v>
      </c>
    </row>
    <row r="10" spans="1:16" ht="31.2" x14ac:dyDescent="0.3">
      <c r="A10" s="163" t="str">
        <f>IF(L10=1,"Arrest-"&amp;TEXT(COUNTIF($L$3:L10, "1"), "0"), "")</f>
        <v>Arrest-8</v>
      </c>
      <c r="B10" s="133" t="s">
        <v>43</v>
      </c>
      <c r="C10" s="134" t="s">
        <v>206</v>
      </c>
      <c r="D10" s="241"/>
      <c r="E10" s="239"/>
      <c r="F10" s="239"/>
      <c r="G10" s="187" t="s">
        <v>101</v>
      </c>
      <c r="H10" s="140">
        <f>COUNTIFS(B:B,"=Critical",G:G,"=Exception")</f>
        <v>0</v>
      </c>
      <c r="I10" s="116">
        <f t="shared" si="0"/>
        <v>1</v>
      </c>
      <c r="J10" s="116">
        <f t="shared" si="1"/>
        <v>0</v>
      </c>
      <c r="K10" s="116">
        <f t="shared" si="2"/>
        <v>0</v>
      </c>
      <c r="L10" s="115">
        <v>1</v>
      </c>
    </row>
    <row r="11" spans="1:16" x14ac:dyDescent="0.3">
      <c r="A11" s="126" t="str">
        <f>IF(L11=1,"Arrest-"&amp;TEXT(COUNTIF($L$3:L11, "1"), "0"), "")</f>
        <v/>
      </c>
      <c r="B11" s="126"/>
      <c r="C11" s="243" t="s">
        <v>168</v>
      </c>
      <c r="D11" s="244"/>
      <c r="E11" s="245"/>
      <c r="F11" s="245"/>
      <c r="G11" s="182"/>
      <c r="H11" s="146">
        <f>COUNTIFS(B:B,"=Important",G:G,"=Select from Drop Down List")</f>
        <v>21</v>
      </c>
      <c r="I11" s="116"/>
      <c r="J11" s="116"/>
      <c r="K11" s="116"/>
    </row>
    <row r="12" spans="1:16" ht="30" customHeight="1" x14ac:dyDescent="0.3">
      <c r="A12" s="163" t="str">
        <f>IF(L12=1,"Arrest-"&amp;TEXT(COUNTIF($L$3:L12, "1"), "0"), "")</f>
        <v>Arrest-9</v>
      </c>
      <c r="B12" s="183" t="s">
        <v>43</v>
      </c>
      <c r="C12" s="246" t="s">
        <v>185</v>
      </c>
      <c r="D12" s="247"/>
      <c r="E12" s="248"/>
      <c r="F12" s="248"/>
      <c r="G12" s="249" t="s">
        <v>101</v>
      </c>
      <c r="H12" s="146">
        <f>COUNTIFS(B:B,"=Important",G:G,"=Function Available")</f>
        <v>0</v>
      </c>
      <c r="I12" s="116">
        <f t="shared" ref="I12:I17" si="3">IF(NOT(ISBLANK($B12)),VLOOKUP($B12,specdata,2,FALSE()),"")</f>
        <v>1</v>
      </c>
      <c r="J12" s="116">
        <f t="shared" ref="J12:J17" si="4">VLOOKUP(G12,AvailabilityData,2,FALSE())</f>
        <v>0</v>
      </c>
      <c r="K12" s="116">
        <f t="shared" ref="K12:K17" si="5">I12*J12</f>
        <v>0</v>
      </c>
      <c r="L12" s="115">
        <v>1</v>
      </c>
    </row>
    <row r="13" spans="1:16" ht="30" customHeight="1" x14ac:dyDescent="0.3">
      <c r="A13" s="163" t="str">
        <f>IF(L13=1,"Arrest-"&amp;TEXT(COUNTIF($L$3:L13, "1"), "0"), "")</f>
        <v>Arrest-10</v>
      </c>
      <c r="B13" s="183" t="s">
        <v>43</v>
      </c>
      <c r="C13" s="250" t="s">
        <v>170</v>
      </c>
      <c r="D13" s="241"/>
      <c r="E13" s="239"/>
      <c r="F13" s="239"/>
      <c r="G13" s="137" t="s">
        <v>101</v>
      </c>
      <c r="H13" s="146">
        <f>COUNTIFS(B:B,"=Important",G:G,"=Function Not Available")</f>
        <v>0</v>
      </c>
      <c r="I13" s="116">
        <f t="shared" si="3"/>
        <v>1</v>
      </c>
      <c r="J13" s="116">
        <f t="shared" si="4"/>
        <v>0</v>
      </c>
      <c r="K13" s="116">
        <f t="shared" si="5"/>
        <v>0</v>
      </c>
      <c r="L13" s="115">
        <v>1</v>
      </c>
    </row>
    <row r="14" spans="1:16" ht="30" customHeight="1" x14ac:dyDescent="0.3">
      <c r="A14" s="163" t="str">
        <f>IF(L14=1,"Arrest-"&amp;TEXT(COUNTIF($L$3:L14, "1"), "0"), "")</f>
        <v>Arrest-11</v>
      </c>
      <c r="B14" s="183" t="s">
        <v>43</v>
      </c>
      <c r="C14" s="250" t="s">
        <v>171</v>
      </c>
      <c r="D14" s="241"/>
      <c r="E14" s="239"/>
      <c r="F14" s="239"/>
      <c r="G14" s="137" t="s">
        <v>101</v>
      </c>
      <c r="H14" s="146">
        <f>COUNTIFS(B:B,"=Important",G:G,"=Exception")</f>
        <v>0</v>
      </c>
      <c r="I14" s="116">
        <f t="shared" si="3"/>
        <v>1</v>
      </c>
      <c r="J14" s="116">
        <f t="shared" si="4"/>
        <v>0</v>
      </c>
      <c r="K14" s="116">
        <f t="shared" si="5"/>
        <v>0</v>
      </c>
      <c r="L14" s="115">
        <v>1</v>
      </c>
    </row>
    <row r="15" spans="1:16" ht="30" customHeight="1" x14ac:dyDescent="0.3">
      <c r="A15" s="163" t="str">
        <f>IF(L15=1,"Arrest-"&amp;TEXT(COUNTIF($L$3:L15, "1"), "0"), "")</f>
        <v>Arrest-12</v>
      </c>
      <c r="B15" s="133" t="s">
        <v>43</v>
      </c>
      <c r="C15" s="250" t="s">
        <v>172</v>
      </c>
      <c r="D15" s="241"/>
      <c r="E15" s="239"/>
      <c r="F15" s="239"/>
      <c r="G15" s="137" t="s">
        <v>101</v>
      </c>
      <c r="H15" s="147">
        <f>COUNTIFS(B:B,"=Informational",G:G,"=Select from Drop Down List")</f>
        <v>0</v>
      </c>
      <c r="I15" s="116">
        <f t="shared" si="3"/>
        <v>1</v>
      </c>
      <c r="J15" s="116">
        <f t="shared" si="4"/>
        <v>0</v>
      </c>
      <c r="K15" s="116">
        <f t="shared" si="5"/>
        <v>0</v>
      </c>
      <c r="L15" s="115">
        <v>1</v>
      </c>
    </row>
    <row r="16" spans="1:16" ht="30" customHeight="1" x14ac:dyDescent="0.3">
      <c r="A16" s="163" t="str">
        <f>IF(L16=1,"Arrest-"&amp;TEXT(COUNTIF($L$3:L16, "1"), "0"), "")</f>
        <v>Arrest-13</v>
      </c>
      <c r="B16" s="133" t="s">
        <v>43</v>
      </c>
      <c r="C16" s="250" t="s">
        <v>173</v>
      </c>
      <c r="D16" s="241"/>
      <c r="E16" s="239"/>
      <c r="F16" s="239"/>
      <c r="G16" s="137" t="s">
        <v>101</v>
      </c>
      <c r="H16" s="147">
        <f>COUNTIFS(B:B,"=Informational",G:G,"=Function Available")</f>
        <v>0</v>
      </c>
      <c r="I16" s="116">
        <f t="shared" si="3"/>
        <v>1</v>
      </c>
      <c r="J16" s="116">
        <f t="shared" si="4"/>
        <v>0</v>
      </c>
      <c r="K16" s="116">
        <f t="shared" si="5"/>
        <v>0</v>
      </c>
      <c r="L16" s="115">
        <v>1</v>
      </c>
    </row>
    <row r="17" spans="1:12" ht="30" customHeight="1" x14ac:dyDescent="0.3">
      <c r="A17" s="163" t="str">
        <f>IF(L17=1,"Arrest-"&amp;TEXT(COUNTIF($L$3:L17, "1"), "0"), "")</f>
        <v>Arrest-14</v>
      </c>
      <c r="B17" s="169" t="s">
        <v>43</v>
      </c>
      <c r="C17" s="251" t="s">
        <v>207</v>
      </c>
      <c r="D17" s="252"/>
      <c r="E17" s="253"/>
      <c r="F17" s="253"/>
      <c r="G17" s="176" t="s">
        <v>101</v>
      </c>
      <c r="H17" s="147">
        <f>COUNTIFS(B:B,"=Informational",G:G,"=Function Not Available")</f>
        <v>0</v>
      </c>
      <c r="I17" s="116">
        <f t="shared" si="3"/>
        <v>1</v>
      </c>
      <c r="J17" s="116">
        <f t="shared" si="4"/>
        <v>0</v>
      </c>
      <c r="K17" s="116">
        <f t="shared" si="5"/>
        <v>0</v>
      </c>
      <c r="L17" s="115">
        <v>1</v>
      </c>
    </row>
    <row r="18" spans="1:12" x14ac:dyDescent="0.3">
      <c r="A18" s="126" t="str">
        <f>IF(L18=1,"Arrest-"&amp;TEXT(COUNTIF($L$3:L18, "1"), "0"), "")</f>
        <v/>
      </c>
      <c r="B18" s="126"/>
      <c r="C18" s="243" t="s">
        <v>165</v>
      </c>
      <c r="D18" s="244"/>
      <c r="E18" s="245"/>
      <c r="F18" s="245"/>
      <c r="G18" s="182"/>
      <c r="H18" s="147">
        <f>COUNTIFS(B:B,"=Informational",G:G,"=Exception")</f>
        <v>0</v>
      </c>
      <c r="I18" s="116"/>
      <c r="J18" s="116"/>
      <c r="K18" s="116"/>
    </row>
    <row r="19" spans="1:12" ht="30" customHeight="1" x14ac:dyDescent="0.3">
      <c r="A19" s="163" t="str">
        <f>IF(L19=1,"Arrest-"&amp;TEXT(COUNTIF($L$3:L19, "1"), "0"), "")</f>
        <v>Arrest-15</v>
      </c>
      <c r="B19" s="183" t="s">
        <v>43</v>
      </c>
      <c r="C19" s="254" t="s">
        <v>208</v>
      </c>
      <c r="D19" s="247"/>
      <c r="E19" s="248"/>
      <c r="F19" s="248"/>
      <c r="G19" s="187" t="s">
        <v>101</v>
      </c>
      <c r="H19" s="255"/>
      <c r="I19" s="116">
        <f>IF(NOT(ISBLANK($B19)),VLOOKUP($B19,specdata,2,FALSE()),"")</f>
        <v>1</v>
      </c>
      <c r="J19" s="116">
        <f>VLOOKUP(G19,AvailabilityData,2,FALSE())</f>
        <v>0</v>
      </c>
      <c r="K19" s="116">
        <f>I19*J19</f>
        <v>0</v>
      </c>
      <c r="L19" s="115">
        <v>1</v>
      </c>
    </row>
    <row r="20" spans="1:12" ht="30" customHeight="1" x14ac:dyDescent="0.3">
      <c r="A20" s="163" t="str">
        <f>IF(L20=1,"Arrest-"&amp;TEXT(COUNTIF($L$3:L20, "1"), "0"), "")</f>
        <v>Arrest-16</v>
      </c>
      <c r="B20" s="133" t="s">
        <v>43</v>
      </c>
      <c r="C20" s="237" t="s">
        <v>209</v>
      </c>
      <c r="D20" s="241"/>
      <c r="E20" s="239"/>
      <c r="F20" s="239"/>
      <c r="G20" s="137" t="s">
        <v>101</v>
      </c>
      <c r="H20" s="255"/>
      <c r="I20" s="116">
        <f>IF(NOT(ISBLANK($B20)),VLOOKUP($B20,specdata,2,FALSE()),"")</f>
        <v>1</v>
      </c>
      <c r="J20" s="116">
        <f>VLOOKUP(G20,AvailabilityData,2,FALSE())</f>
        <v>0</v>
      </c>
      <c r="K20" s="116">
        <f>I20*J20</f>
        <v>0</v>
      </c>
      <c r="L20" s="115">
        <v>1</v>
      </c>
    </row>
    <row r="21" spans="1:12" ht="30" customHeight="1" x14ac:dyDescent="0.3">
      <c r="A21" s="163" t="str">
        <f>IF(L21=1,"Arrest-"&amp;TEXT(COUNTIF($L$3:L21, "1"), "0"), "")</f>
        <v>Arrest-17</v>
      </c>
      <c r="B21" s="133" t="s">
        <v>43</v>
      </c>
      <c r="C21" s="237" t="s">
        <v>210</v>
      </c>
      <c r="D21" s="241"/>
      <c r="E21" s="239"/>
      <c r="F21" s="239"/>
      <c r="G21" s="137" t="s">
        <v>101</v>
      </c>
      <c r="H21" s="255"/>
      <c r="I21" s="116">
        <f>IF(NOT(ISBLANK($B21)),VLOOKUP($B21,specdata,2,FALSE()),"")</f>
        <v>1</v>
      </c>
      <c r="J21" s="116">
        <f>VLOOKUP(G21,AvailabilityData,2,FALSE())</f>
        <v>0</v>
      </c>
      <c r="K21" s="116">
        <f>I21*J21</f>
        <v>0</v>
      </c>
      <c r="L21" s="115">
        <v>1</v>
      </c>
    </row>
    <row r="22" spans="1:12" ht="30" customHeight="1" x14ac:dyDescent="0.3">
      <c r="A22" s="163" t="str">
        <f>IF(L22=1,"Arrest-"&amp;TEXT(COUNTIF($L$3:L22, "1"), "0"), "")</f>
        <v>Arrest-18</v>
      </c>
      <c r="B22" s="169" t="s">
        <v>43</v>
      </c>
      <c r="C22" s="251" t="s">
        <v>211</v>
      </c>
      <c r="D22" s="252"/>
      <c r="E22" s="253"/>
      <c r="F22" s="253"/>
      <c r="G22" s="176" t="s">
        <v>101</v>
      </c>
      <c r="H22" s="255"/>
      <c r="I22" s="116">
        <f>IF(NOT(ISBLANK($B22)),VLOOKUP($B22,specdata,2,FALSE()),"")</f>
        <v>1</v>
      </c>
      <c r="J22" s="116">
        <f>VLOOKUP(G22,AvailabilityData,2,FALSE())</f>
        <v>0</v>
      </c>
      <c r="K22" s="116">
        <f>I22*J22</f>
        <v>0</v>
      </c>
      <c r="L22" s="115">
        <v>1</v>
      </c>
    </row>
    <row r="23" spans="1:12" x14ac:dyDescent="0.3">
      <c r="A23" s="126" t="str">
        <f>IF(L23=1,"Arrest-"&amp;TEXT(COUNTIF($L$3:L23, "1"), "0"), "")</f>
        <v/>
      </c>
      <c r="B23" s="126"/>
      <c r="C23" s="243" t="s">
        <v>174</v>
      </c>
      <c r="D23" s="244"/>
      <c r="E23" s="245"/>
      <c r="F23" s="245"/>
      <c r="G23" s="182"/>
      <c r="H23" s="255"/>
      <c r="I23" s="116"/>
      <c r="J23" s="116"/>
      <c r="K23" s="116"/>
    </row>
    <row r="24" spans="1:12" ht="30" customHeight="1" x14ac:dyDescent="0.3">
      <c r="A24" s="163" t="str">
        <f>IF(L24=1,"Arrest-"&amp;TEXT(COUNTIF($L$3:L24, "1"), "0"), "")</f>
        <v>Arrest-19</v>
      </c>
      <c r="B24" s="183" t="s">
        <v>43</v>
      </c>
      <c r="C24" s="254" t="s">
        <v>212</v>
      </c>
      <c r="D24" s="247"/>
      <c r="E24" s="248"/>
      <c r="F24" s="248"/>
      <c r="G24" s="187" t="s">
        <v>101</v>
      </c>
      <c r="H24" s="255"/>
      <c r="I24" s="116">
        <f>IF(NOT(ISBLANK($B24)),VLOOKUP($B24,specdata,2,FALSE()),"")</f>
        <v>1</v>
      </c>
      <c r="J24" s="116">
        <f>VLOOKUP(G24,AvailabilityData,2,FALSE())</f>
        <v>0</v>
      </c>
      <c r="K24" s="116">
        <f>I24*J24</f>
        <v>0</v>
      </c>
      <c r="L24" s="115">
        <v>1</v>
      </c>
    </row>
    <row r="25" spans="1:12" ht="46.8" x14ac:dyDescent="0.3">
      <c r="A25" s="163" t="str">
        <f>IF(L25=1,"Arrest-"&amp;TEXT(COUNTIF($L$3:L25, "1"), "0"), "")</f>
        <v>Arrest-20</v>
      </c>
      <c r="B25" s="133" t="s">
        <v>43</v>
      </c>
      <c r="C25" s="237" t="s">
        <v>193</v>
      </c>
      <c r="D25" s="241"/>
      <c r="E25" s="239"/>
      <c r="F25" s="239"/>
      <c r="G25" s="137" t="s">
        <v>101</v>
      </c>
      <c r="H25" s="255"/>
      <c r="I25" s="116">
        <f>IF(NOT(ISBLANK($B25)),VLOOKUP($B25,specdata,2,FALSE()),"")</f>
        <v>1</v>
      </c>
      <c r="J25" s="116">
        <f>VLOOKUP(G25,AvailabilityData,2,FALSE())</f>
        <v>0</v>
      </c>
      <c r="K25" s="116">
        <f>I25*J25</f>
        <v>0</v>
      </c>
      <c r="L25" s="115">
        <v>1</v>
      </c>
    </row>
    <row r="26" spans="1:12" ht="30" customHeight="1" x14ac:dyDescent="0.3">
      <c r="A26" s="163" t="str">
        <f>IF(L26=1,"Arrest-"&amp;TEXT(COUNTIF($L$3:L26, "1"), "0"), "")</f>
        <v>Arrest-21</v>
      </c>
      <c r="B26" s="133" t="s">
        <v>43</v>
      </c>
      <c r="C26" s="237" t="s">
        <v>213</v>
      </c>
      <c r="D26" s="241"/>
      <c r="E26" s="239"/>
      <c r="F26" s="239"/>
      <c r="G26" s="137" t="s">
        <v>101</v>
      </c>
      <c r="H26" s="255"/>
      <c r="I26" s="116">
        <f>IF(NOT(ISBLANK($B26)),VLOOKUP($B26,specdata,2,FALSE()),"")</f>
        <v>1</v>
      </c>
      <c r="J26" s="116">
        <f>VLOOKUP(G26,AvailabilityData,2,FALSE())</f>
        <v>0</v>
      </c>
      <c r="K26" s="116">
        <f>I26*J26</f>
        <v>0</v>
      </c>
      <c r="L26" s="115">
        <v>1</v>
      </c>
    </row>
    <row r="27" spans="1:12" x14ac:dyDescent="0.3">
      <c r="H27" s="255"/>
    </row>
    <row r="29" spans="1:12" x14ac:dyDescent="0.3">
      <c r="C29" s="256"/>
      <c r="D29" s="257"/>
    </row>
    <row r="30" spans="1:12" x14ac:dyDescent="0.3">
      <c r="C30" s="256"/>
      <c r="D30" s="257"/>
    </row>
  </sheetData>
  <mergeCells count="1">
    <mergeCell ref="N3:P6"/>
  </mergeCells>
  <conditionalFormatting sqref="A11">
    <cfRule type="cellIs" dxfId="338" priority="10" operator="equal">
      <formula>"Informational"</formula>
    </cfRule>
    <cfRule type="cellIs" dxfId="337" priority="11" operator="equal">
      <formula>"Not Needed"</formula>
    </cfRule>
    <cfRule type="cellIs" dxfId="336" priority="12" operator="equal">
      <formula>"Critical"</formula>
    </cfRule>
    <cfRule type="cellIs" dxfId="335" priority="13" operator="equal">
      <formula>"Extremely Advantageous"</formula>
    </cfRule>
  </conditionalFormatting>
  <conditionalFormatting sqref="A18">
    <cfRule type="cellIs" dxfId="334" priority="6" operator="equal">
      <formula>"Informational"</formula>
    </cfRule>
    <cfRule type="cellIs" dxfId="333" priority="7" operator="equal">
      <formula>"Not Needed"</formula>
    </cfRule>
    <cfRule type="cellIs" dxfId="332" priority="8" operator="equal">
      <formula>"Critical"</formula>
    </cfRule>
    <cfRule type="cellIs" dxfId="331" priority="9" operator="equal">
      <formula>"Extremely Advantageous"</formula>
    </cfRule>
  </conditionalFormatting>
  <conditionalFormatting sqref="A23">
    <cfRule type="cellIs" dxfId="330" priority="2" operator="equal">
      <formula>"Informational"</formula>
    </cfRule>
    <cfRule type="cellIs" dxfId="329" priority="3" operator="equal">
      <formula>"Not Needed"</formula>
    </cfRule>
    <cfRule type="cellIs" dxfId="328" priority="4" operator="equal">
      <formula>"Critical"</formula>
    </cfRule>
    <cfRule type="cellIs" dxfId="327" priority="5" operator="equal">
      <formula>"Extremely Advantageous"</formula>
    </cfRule>
  </conditionalFormatting>
  <conditionalFormatting sqref="B1:B1048576">
    <cfRule type="cellIs" dxfId="326" priority="14" operator="equal">
      <formula>"Informational"</formula>
    </cfRule>
    <cfRule type="cellIs" dxfId="325" priority="15" operator="equal">
      <formula>"Not Needed"</formula>
    </cfRule>
    <cfRule type="cellIs" dxfId="324" priority="16" operator="equal">
      <formula>"Critical"</formula>
    </cfRule>
    <cfRule type="cellIs" dxfId="323" priority="17" operator="equal">
      <formula>"Extremely Advantageous"</formula>
    </cfRule>
  </conditionalFormatting>
  <conditionalFormatting sqref="G1:G1048576">
    <cfRule type="cellIs" dxfId="322" priority="18" operator="equal">
      <formula>"Exception"</formula>
    </cfRule>
  </conditionalFormatting>
  <conditionalFormatting sqref="G3:G26">
    <cfRule type="cellIs" dxfId="321" priority="19"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26" xr:uid="{00000000-0002-0000-0700-000000000000}">
      <formula1>SpecType</formula1>
      <formula2>0</formula2>
    </dataValidation>
    <dataValidation type="list" allowBlank="1" showInputMessage="1" showErrorMessage="1" sqref="G3:G26" xr:uid="{00000000-0002-0000-0700-000001000000}">
      <formula1>Availability</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June 2024 ©&amp;R&amp;"Arial,Bold"&amp;10&amp;P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8E5B1"/>
    <pageSetUpPr fitToPage="1"/>
  </sheetPr>
  <dimension ref="A1:P43"/>
  <sheetViews>
    <sheetView topLeftCell="B1" zoomScaleNormal="100" zoomScalePageLayoutView="90" workbookViewId="0">
      <selection activeCell="G1" sqref="G1"/>
    </sheetView>
  </sheetViews>
  <sheetFormatPr defaultColWidth="9" defaultRowHeight="15.6" x14ac:dyDescent="0.3"/>
  <cols>
    <col min="1" max="1" width="12.59765625" style="233" customWidth="1"/>
    <col min="2" max="2" width="14.59765625" style="265" customWidth="1"/>
    <col min="3" max="3" width="65.59765625" style="233" customWidth="1"/>
    <col min="4" max="4" width="65.59765625" style="115" customWidth="1"/>
    <col min="5" max="5" width="10.59765625" style="115" hidden="1" customWidth="1"/>
    <col min="6" max="6" width="6.59765625" style="115" hidden="1" customWidth="1"/>
    <col min="7" max="7" width="30.59765625" style="115" customWidth="1"/>
    <col min="8" max="11" width="8.59765625" style="131" customWidth="1"/>
    <col min="12" max="16384" width="9" style="115"/>
  </cols>
  <sheetData>
    <row r="1" spans="1:16" s="124" customFormat="1" ht="105" customHeight="1" x14ac:dyDescent="0.25">
      <c r="A1" s="158" t="s">
        <v>102</v>
      </c>
      <c r="B1" s="158" t="s">
        <v>103</v>
      </c>
      <c r="C1" s="158" t="str">
        <f>'Support Data'!A18</f>
        <v>Specifications</v>
      </c>
      <c r="D1" s="159" t="str">
        <f>'Support Data'!$A$19</f>
        <v>Contractor Work Area</v>
      </c>
      <c r="E1" s="159" t="str">
        <f>'Support Data'!A20</f>
        <v>Def ID</v>
      </c>
      <c r="F1" s="160" t="s">
        <v>78</v>
      </c>
      <c r="G1" s="159" t="str">
        <f>'Support Data'!A22</f>
        <v>Availability</v>
      </c>
      <c r="H1" s="123" t="str">
        <f>'Support Data'!A24</f>
        <v>Summary</v>
      </c>
      <c r="I1" s="123" t="str">
        <f>'Support Data'!A25</f>
        <v>Spec Weight</v>
      </c>
      <c r="J1" s="123" t="str">
        <f>'Support Data'!A26</f>
        <v>Avail Weight</v>
      </c>
      <c r="K1" s="123" t="str">
        <f>'Support Data'!A27</f>
        <v>Score</v>
      </c>
      <c r="L1" s="123" t="s">
        <v>104</v>
      </c>
    </row>
    <row r="2" spans="1:16" x14ac:dyDescent="0.3">
      <c r="A2" s="266" t="s">
        <v>214</v>
      </c>
      <c r="B2" s="267"/>
      <c r="C2" s="234"/>
      <c r="D2" s="128"/>
      <c r="E2" s="130"/>
      <c r="F2" s="130"/>
      <c r="G2" s="268"/>
      <c r="H2" s="131">
        <f>COUNTA(B3:B43)</f>
        <v>35</v>
      </c>
      <c r="K2" s="131">
        <f>SUM(K3:K43)</f>
        <v>0</v>
      </c>
    </row>
    <row r="3" spans="1:16" ht="43.35" customHeight="1" x14ac:dyDescent="0.3">
      <c r="A3" s="259" t="str">
        <f>IF(L3=1,"ASAP-"&amp;TEXT(COUNTIF($L$3:L3, "1"), "0"), "")</f>
        <v>ASAP-1</v>
      </c>
      <c r="B3" s="183" t="s">
        <v>43</v>
      </c>
      <c r="C3" s="269" t="s">
        <v>215</v>
      </c>
      <c r="D3" s="270"/>
      <c r="E3" s="186"/>
      <c r="F3" s="191">
        <v>1</v>
      </c>
      <c r="G3" s="187" t="s">
        <v>101</v>
      </c>
      <c r="H3" s="131">
        <f>COUNTIF(G:G,"=Select from Drop Down List")</f>
        <v>35</v>
      </c>
      <c r="I3" s="131">
        <f>IF(NOT(ISBLANK($B3)),VLOOKUP($B3,specdata,2,FALSE()),"")</f>
        <v>1</v>
      </c>
      <c r="J3" s="131">
        <f>VLOOKUP(G3,AvailabilityData,2,FALSE())</f>
        <v>0</v>
      </c>
      <c r="K3" s="131">
        <f>I3*J3</f>
        <v>0</v>
      </c>
      <c r="L3" s="115">
        <v>1</v>
      </c>
      <c r="N3" s="858" t="s">
        <v>107</v>
      </c>
      <c r="O3" s="858"/>
      <c r="P3" s="858"/>
    </row>
    <row r="4" spans="1:16" ht="46.8" x14ac:dyDescent="0.3">
      <c r="A4" s="259" t="str">
        <f>IF(L4=1,"ASAP-"&amp;TEXT(COUNTIF($L$3:L4, "1"), "0"), "")</f>
        <v>ASAP-2</v>
      </c>
      <c r="B4" s="183" t="s">
        <v>43</v>
      </c>
      <c r="C4" s="134" t="s">
        <v>216</v>
      </c>
      <c r="D4" s="270"/>
      <c r="E4" s="186"/>
      <c r="F4" s="166">
        <v>1</v>
      </c>
      <c r="G4" s="137" t="s">
        <v>101</v>
      </c>
      <c r="H4" s="131">
        <f>COUNTIF(G:G,"=Function Available")</f>
        <v>0</v>
      </c>
      <c r="I4" s="131">
        <f>IF(NOT(ISBLANK($B4)),VLOOKUP($B4,specdata,2,FALSE()),"")</f>
        <v>1</v>
      </c>
      <c r="J4" s="131">
        <f>VLOOKUP(G4,AvailabilityData,2,FALSE())</f>
        <v>0</v>
      </c>
      <c r="K4" s="131">
        <f>I4*J4</f>
        <v>0</v>
      </c>
      <c r="L4" s="115">
        <v>1</v>
      </c>
      <c r="N4" s="858"/>
      <c r="O4" s="858"/>
      <c r="P4" s="858"/>
    </row>
    <row r="5" spans="1:16" ht="46.8" x14ac:dyDescent="0.3">
      <c r="A5" s="259" t="str">
        <f>IF(L5=1,"ASAP-"&amp;TEXT(COUNTIF($L$3:L5, "1"), "0"), "")</f>
        <v>ASAP-3</v>
      </c>
      <c r="B5" s="260" t="s">
        <v>43</v>
      </c>
      <c r="C5" s="271" t="s">
        <v>217</v>
      </c>
      <c r="D5" s="171"/>
      <c r="E5" s="172"/>
      <c r="F5" s="173">
        <v>1</v>
      </c>
      <c r="G5" s="176" t="s">
        <v>101</v>
      </c>
      <c r="H5" s="131">
        <f>COUNTIF(F:G,"=Function Not Available")</f>
        <v>0</v>
      </c>
      <c r="I5" s="131">
        <f>IF(NOT(ISBLANK($B5)),VLOOKUP($B5,specdata,2,FALSE()),"")</f>
        <v>1</v>
      </c>
      <c r="J5" s="131">
        <f>VLOOKUP(G5,AvailabilityData,2,FALSE())</f>
        <v>0</v>
      </c>
      <c r="K5" s="131">
        <f>I5*J5</f>
        <v>0</v>
      </c>
      <c r="L5" s="115">
        <v>1</v>
      </c>
      <c r="N5" s="858"/>
      <c r="O5" s="858"/>
      <c r="P5" s="858"/>
    </row>
    <row r="6" spans="1:16" x14ac:dyDescent="0.3">
      <c r="A6" s="126" t="str">
        <f>IF(L6=1,"ASAP-"&amp;TEXT(COUNTIF($L$3:L6, "1"), "0"), "")</f>
        <v/>
      </c>
      <c r="B6" s="126"/>
      <c r="C6" s="243" t="s">
        <v>218</v>
      </c>
      <c r="D6" s="179"/>
      <c r="E6" s="180"/>
      <c r="F6" s="181"/>
      <c r="G6" s="182"/>
      <c r="H6" s="131">
        <f>COUNTIF(G:G,"=Exception")</f>
        <v>0</v>
      </c>
      <c r="N6" s="858"/>
      <c r="O6" s="858"/>
      <c r="P6" s="858"/>
    </row>
    <row r="7" spans="1:16" ht="30" customHeight="1" x14ac:dyDescent="0.3">
      <c r="A7" s="259" t="str">
        <f>IF(L7=1,"ASAP-"&amp;TEXT(COUNTIF($L$3:L7, "1"), "0"), "")</f>
        <v>ASAP-4</v>
      </c>
      <c r="B7" s="133" t="s">
        <v>43</v>
      </c>
      <c r="C7" s="190" t="s">
        <v>219</v>
      </c>
      <c r="D7" s="171"/>
      <c r="E7" s="172"/>
      <c r="F7" s="272">
        <v>1</v>
      </c>
      <c r="G7" s="187" t="s">
        <v>101</v>
      </c>
      <c r="H7" s="140">
        <f>COUNTIFS(B:B,"=Critical",G:G,"=Select from Drop Down List")</f>
        <v>0</v>
      </c>
      <c r="I7" s="131">
        <f>IF(NOT(ISBLANK($B7)),VLOOKUP($B7,specdata,2,FALSE()),"")</f>
        <v>1</v>
      </c>
      <c r="J7" s="131">
        <f>VLOOKUP(G7,AvailabilityData,2,FALSE())</f>
        <v>0</v>
      </c>
      <c r="K7" s="131">
        <f>I7*J7</f>
        <v>0</v>
      </c>
      <c r="L7" s="115">
        <v>1</v>
      </c>
    </row>
    <row r="8" spans="1:16" ht="30" customHeight="1" x14ac:dyDescent="0.3">
      <c r="A8" s="259" t="str">
        <f>IF(L8=1,"ASAP-"&amp;TEXT(COUNTIF($L$3:L8, "1"), "0"), "")</f>
        <v>ASAP-5</v>
      </c>
      <c r="B8" s="133" t="s">
        <v>43</v>
      </c>
      <c r="C8" s="273" t="s">
        <v>220</v>
      </c>
      <c r="D8" s="174"/>
      <c r="E8" s="175"/>
      <c r="F8" s="176">
        <v>1</v>
      </c>
      <c r="G8" s="242" t="s">
        <v>101</v>
      </c>
      <c r="H8" s="140">
        <f>COUNTIFS(B:B,"=Critical",G:G,"=Function Available")</f>
        <v>0</v>
      </c>
      <c r="I8" s="131">
        <f>IF(NOT(ISBLANK($B8)),VLOOKUP($B8,specdata,2,FALSE()),"")</f>
        <v>1</v>
      </c>
      <c r="J8" s="131">
        <f>VLOOKUP(G8,AvailabilityData,2,FALSE())</f>
        <v>0</v>
      </c>
      <c r="K8" s="131">
        <f>I8*J8</f>
        <v>0</v>
      </c>
      <c r="L8" s="115">
        <v>1</v>
      </c>
    </row>
    <row r="9" spans="1:16" x14ac:dyDescent="0.3">
      <c r="A9" s="126" t="str">
        <f>IF(L9=1,"ASAP-"&amp;TEXT(COUNTIF($L$3:L9, "1"), "0"), "")</f>
        <v/>
      </c>
      <c r="B9" s="126"/>
      <c r="C9" s="243" t="s">
        <v>221</v>
      </c>
      <c r="D9" s="179"/>
      <c r="E9" s="180"/>
      <c r="F9" s="181"/>
      <c r="G9" s="182"/>
      <c r="H9" s="140">
        <f>COUNTIFS(B:B,"=Critical",G:G,"=Function Not Available")</f>
        <v>0</v>
      </c>
    </row>
    <row r="10" spans="1:16" ht="31.2" x14ac:dyDescent="0.3">
      <c r="A10" s="259" t="str">
        <f>IF(L10=1,"ASAP-"&amp;TEXT(COUNTIF($L$3:L10, "1"), "0"), "")</f>
        <v>ASAP-6</v>
      </c>
      <c r="B10" s="183" t="s">
        <v>43</v>
      </c>
      <c r="C10" s="184" t="s">
        <v>222</v>
      </c>
      <c r="D10" s="270"/>
      <c r="E10" s="186"/>
      <c r="F10" s="187">
        <v>1</v>
      </c>
      <c r="G10" s="249" t="s">
        <v>101</v>
      </c>
      <c r="H10" s="140">
        <f>COUNTIFS(B:B,"=Critical",G:G,"=Exception")</f>
        <v>0</v>
      </c>
      <c r="I10" s="131">
        <f t="shared" ref="I10:I28" si="0">IF(NOT(ISBLANK($B10)),VLOOKUP($B10,specdata,2,FALSE()),"")</f>
        <v>1</v>
      </c>
      <c r="J10" s="131">
        <f t="shared" ref="J10:J28" si="1">VLOOKUP(G10,AvailabilityData,2,FALSE())</f>
        <v>0</v>
      </c>
      <c r="K10" s="131">
        <f t="shared" ref="K10:K28" si="2">I10*J10</f>
        <v>0</v>
      </c>
      <c r="L10" s="115">
        <v>1</v>
      </c>
    </row>
    <row r="11" spans="1:16" ht="30" customHeight="1" x14ac:dyDescent="0.3">
      <c r="A11" s="259" t="str">
        <f>IF(L11=1,"ASAP-"&amp;TEXT(COUNTIF($L$3:L11, "1"), "0"), "")</f>
        <v>ASAP-7</v>
      </c>
      <c r="B11" s="133" t="s">
        <v>43</v>
      </c>
      <c r="C11" s="164" t="s">
        <v>223</v>
      </c>
      <c r="D11" s="153"/>
      <c r="E11" s="168"/>
      <c r="F11" s="137">
        <v>1</v>
      </c>
      <c r="G11" s="240" t="s">
        <v>101</v>
      </c>
      <c r="H11" s="146">
        <f>COUNTIFS(B:B,"=Important",G:G,"=Select from Drop Down List")</f>
        <v>35</v>
      </c>
      <c r="I11" s="131">
        <f t="shared" si="0"/>
        <v>1</v>
      </c>
      <c r="J11" s="131">
        <f t="shared" si="1"/>
        <v>0</v>
      </c>
      <c r="K11" s="131">
        <f t="shared" si="2"/>
        <v>0</v>
      </c>
      <c r="L11" s="115">
        <v>1</v>
      </c>
    </row>
    <row r="12" spans="1:16" ht="48.75" customHeight="1" x14ac:dyDescent="0.3">
      <c r="A12" s="259" t="str">
        <f>IF(L12=1,"ASAP-"&amp;TEXT(COUNTIF($L$3:L12, "1"), "0"), "")</f>
        <v>ASAP-8</v>
      </c>
      <c r="B12" s="133" t="s">
        <v>43</v>
      </c>
      <c r="C12" s="164" t="s">
        <v>224</v>
      </c>
      <c r="D12" s="153"/>
      <c r="E12" s="168"/>
      <c r="F12" s="137">
        <v>1</v>
      </c>
      <c r="G12" s="240" t="s">
        <v>101</v>
      </c>
      <c r="H12" s="146">
        <f>COUNTIFS(B:B,"=Important",G:G,"=Function Available")</f>
        <v>0</v>
      </c>
      <c r="I12" s="131">
        <f t="shared" si="0"/>
        <v>1</v>
      </c>
      <c r="J12" s="131">
        <f t="shared" si="1"/>
        <v>0</v>
      </c>
      <c r="K12" s="131">
        <f t="shared" si="2"/>
        <v>0</v>
      </c>
      <c r="L12" s="115">
        <v>1</v>
      </c>
    </row>
    <row r="13" spans="1:16" ht="51.75" customHeight="1" x14ac:dyDescent="0.3">
      <c r="A13" s="259" t="str">
        <f>IF(L13=1,"ASAP-"&amp;TEXT(COUNTIF($L$3:L13, "1"), "0"), "")</f>
        <v>ASAP-9</v>
      </c>
      <c r="B13" s="133" t="s">
        <v>43</v>
      </c>
      <c r="C13" s="164" t="s">
        <v>225</v>
      </c>
      <c r="D13" s="153"/>
      <c r="E13" s="168"/>
      <c r="F13" s="137">
        <v>1</v>
      </c>
      <c r="G13" s="240" t="s">
        <v>101</v>
      </c>
      <c r="H13" s="146">
        <f>COUNTIFS(B:B,"=Important",G:G,"=Function Not Available")</f>
        <v>0</v>
      </c>
      <c r="I13" s="131">
        <f t="shared" si="0"/>
        <v>1</v>
      </c>
      <c r="J13" s="131">
        <f t="shared" si="1"/>
        <v>0</v>
      </c>
      <c r="K13" s="131">
        <f t="shared" si="2"/>
        <v>0</v>
      </c>
      <c r="L13" s="115">
        <v>1</v>
      </c>
    </row>
    <row r="14" spans="1:16" ht="50.25" customHeight="1" x14ac:dyDescent="0.3">
      <c r="A14" s="259" t="str">
        <f>IF(L14=1,"ASAP-"&amp;TEXT(COUNTIF($L$3:L14, "1"), "0"), "")</f>
        <v>ASAP-10</v>
      </c>
      <c r="B14" s="183" t="s">
        <v>43</v>
      </c>
      <c r="C14" s="184" t="s">
        <v>226</v>
      </c>
      <c r="D14" s="270"/>
      <c r="E14" s="186"/>
      <c r="F14" s="191">
        <v>1</v>
      </c>
      <c r="G14" s="137" t="s">
        <v>101</v>
      </c>
      <c r="H14" s="146">
        <f>COUNTIFS(B:B,"=Important",G:G,"=Exception")</f>
        <v>0</v>
      </c>
      <c r="I14" s="131">
        <f t="shared" si="0"/>
        <v>1</v>
      </c>
      <c r="J14" s="131">
        <f t="shared" si="1"/>
        <v>0</v>
      </c>
      <c r="K14" s="131">
        <f t="shared" si="2"/>
        <v>0</v>
      </c>
      <c r="L14" s="115">
        <v>1</v>
      </c>
    </row>
    <row r="15" spans="1:16" ht="67.5" customHeight="1" x14ac:dyDescent="0.3">
      <c r="A15" s="259" t="str">
        <f>IF(L15=1,"ASAP-"&amp;TEXT(COUNTIF($L$3:L15, "1"), "0"), "")</f>
        <v>ASAP-11</v>
      </c>
      <c r="B15" s="183" t="s">
        <v>43</v>
      </c>
      <c r="C15" s="164" t="s">
        <v>227</v>
      </c>
      <c r="D15" s="270"/>
      <c r="E15" s="186"/>
      <c r="F15" s="166">
        <v>1</v>
      </c>
      <c r="G15" s="137" t="s">
        <v>101</v>
      </c>
      <c r="H15" s="147">
        <f>COUNTIFS(B:B,"=Informational",G:G,"=Select from Drop Down List")</f>
        <v>0</v>
      </c>
      <c r="I15" s="131">
        <f t="shared" si="0"/>
        <v>1</v>
      </c>
      <c r="J15" s="131">
        <f t="shared" si="1"/>
        <v>0</v>
      </c>
      <c r="K15" s="131">
        <f t="shared" si="2"/>
        <v>0</v>
      </c>
      <c r="L15" s="115">
        <v>1</v>
      </c>
    </row>
    <row r="16" spans="1:16" ht="58.5" customHeight="1" x14ac:dyDescent="0.3">
      <c r="A16" s="259" t="str">
        <f>IF(L16=1,"ASAP-"&amp;TEXT(COUNTIF($L$3:L16, "1"), "0"), "")</f>
        <v>ASAP-12</v>
      </c>
      <c r="B16" s="183" t="s">
        <v>43</v>
      </c>
      <c r="C16" s="164" t="s">
        <v>228</v>
      </c>
      <c r="D16" s="270"/>
      <c r="E16" s="186"/>
      <c r="F16" s="166">
        <v>1</v>
      </c>
      <c r="G16" s="137" t="s">
        <v>101</v>
      </c>
      <c r="H16" s="147">
        <f>COUNTIFS(B:B,"=Informational",G:G,"=Function Available")</f>
        <v>0</v>
      </c>
      <c r="I16" s="131">
        <f t="shared" si="0"/>
        <v>1</v>
      </c>
      <c r="J16" s="131">
        <f t="shared" si="1"/>
        <v>0</v>
      </c>
      <c r="K16" s="131">
        <f t="shared" si="2"/>
        <v>0</v>
      </c>
      <c r="L16" s="115">
        <v>1</v>
      </c>
    </row>
    <row r="17" spans="1:12" ht="30" customHeight="1" x14ac:dyDescent="0.3">
      <c r="A17" s="259" t="str">
        <f>IF(L17=1,"ASAP-"&amp;TEXT(COUNTIF($L$3:L17, "1"), "0"), "")</f>
        <v>ASAP-13</v>
      </c>
      <c r="B17" s="183" t="s">
        <v>43</v>
      </c>
      <c r="C17" s="164" t="s">
        <v>229</v>
      </c>
      <c r="D17" s="270"/>
      <c r="E17" s="186"/>
      <c r="F17" s="166">
        <v>1</v>
      </c>
      <c r="G17" s="137" t="s">
        <v>101</v>
      </c>
      <c r="H17" s="147">
        <f>COUNTIFS(B:B,"=Informational",G:G,"=Function Not Available")</f>
        <v>0</v>
      </c>
      <c r="I17" s="131">
        <f t="shared" si="0"/>
        <v>1</v>
      </c>
      <c r="J17" s="131">
        <f t="shared" si="1"/>
        <v>0</v>
      </c>
      <c r="K17" s="131">
        <f t="shared" si="2"/>
        <v>0</v>
      </c>
      <c r="L17" s="115">
        <v>1</v>
      </c>
    </row>
    <row r="18" spans="1:12" ht="30" customHeight="1" x14ac:dyDescent="0.3">
      <c r="A18" s="259" t="str">
        <f>IF(L18=1,"ASAP-"&amp;TEXT(COUNTIF($L$3:L18, "1"), "0"), "")</f>
        <v>ASAP-14</v>
      </c>
      <c r="B18" s="183" t="s">
        <v>43</v>
      </c>
      <c r="C18" s="164" t="s">
        <v>230</v>
      </c>
      <c r="D18" s="270"/>
      <c r="E18" s="186"/>
      <c r="F18" s="166">
        <v>1</v>
      </c>
      <c r="G18" s="137" t="s">
        <v>101</v>
      </c>
      <c r="H18" s="147">
        <f>COUNTIFS(B:B,"=Informational",G:G,"=Exception")</f>
        <v>0</v>
      </c>
      <c r="I18" s="131">
        <f t="shared" si="0"/>
        <v>1</v>
      </c>
      <c r="J18" s="131">
        <f t="shared" si="1"/>
        <v>0</v>
      </c>
      <c r="K18" s="131">
        <f t="shared" si="2"/>
        <v>0</v>
      </c>
      <c r="L18" s="115">
        <v>1</v>
      </c>
    </row>
    <row r="19" spans="1:12" ht="30" customHeight="1" x14ac:dyDescent="0.3">
      <c r="A19" s="259" t="str">
        <f>IF(L19=1,"ASAP-"&amp;TEXT(COUNTIF($L$3:L19, "1"), "0"), "")</f>
        <v>ASAP-15</v>
      </c>
      <c r="B19" s="183" t="s">
        <v>43</v>
      </c>
      <c r="C19" s="164" t="s">
        <v>231</v>
      </c>
      <c r="D19" s="270"/>
      <c r="E19" s="186"/>
      <c r="F19" s="166">
        <v>1</v>
      </c>
      <c r="G19" s="137" t="s">
        <v>101</v>
      </c>
      <c r="I19" s="131">
        <f t="shared" si="0"/>
        <v>1</v>
      </c>
      <c r="J19" s="131">
        <f t="shared" si="1"/>
        <v>0</v>
      </c>
      <c r="K19" s="131">
        <f t="shared" si="2"/>
        <v>0</v>
      </c>
      <c r="L19" s="115">
        <v>1</v>
      </c>
    </row>
    <row r="20" spans="1:12" ht="30" customHeight="1" x14ac:dyDescent="0.3">
      <c r="A20" s="259" t="str">
        <f>IF(L20=1,"ASAP-"&amp;TEXT(COUNTIF($L$3:L20, "1"), "0"), "")</f>
        <v>ASAP-16</v>
      </c>
      <c r="B20" s="183" t="s">
        <v>43</v>
      </c>
      <c r="C20" s="164" t="s">
        <v>232</v>
      </c>
      <c r="D20" s="270"/>
      <c r="E20" s="186"/>
      <c r="F20" s="166">
        <v>1</v>
      </c>
      <c r="G20" s="137" t="s">
        <v>101</v>
      </c>
      <c r="I20" s="131">
        <f t="shared" si="0"/>
        <v>1</v>
      </c>
      <c r="J20" s="131">
        <f t="shared" si="1"/>
        <v>0</v>
      </c>
      <c r="K20" s="131">
        <f t="shared" si="2"/>
        <v>0</v>
      </c>
      <c r="L20" s="115">
        <v>1</v>
      </c>
    </row>
    <row r="21" spans="1:12" ht="30" customHeight="1" x14ac:dyDescent="0.3">
      <c r="A21" s="259" t="str">
        <f>IF(L21=1,"ASAP-"&amp;TEXT(COUNTIF($L$3:L21, "1"), "0"), "")</f>
        <v>ASAP-17</v>
      </c>
      <c r="B21" s="183" t="s">
        <v>43</v>
      </c>
      <c r="C21" s="164" t="s">
        <v>233</v>
      </c>
      <c r="D21" s="270"/>
      <c r="E21" s="186"/>
      <c r="F21" s="166">
        <v>1</v>
      </c>
      <c r="G21" s="137" t="s">
        <v>101</v>
      </c>
      <c r="I21" s="131">
        <f t="shared" si="0"/>
        <v>1</v>
      </c>
      <c r="J21" s="131">
        <f t="shared" si="1"/>
        <v>0</v>
      </c>
      <c r="K21" s="131">
        <f t="shared" si="2"/>
        <v>0</v>
      </c>
      <c r="L21" s="115">
        <v>1</v>
      </c>
    </row>
    <row r="22" spans="1:12" ht="30" customHeight="1" x14ac:dyDescent="0.3">
      <c r="A22" s="259" t="str">
        <f>IF(L22=1,"ASAP-"&amp;TEXT(COUNTIF($L$3:L22, "1"), "0"), "")</f>
        <v>ASAP-18</v>
      </c>
      <c r="B22" s="183" t="s">
        <v>43</v>
      </c>
      <c r="C22" s="164" t="s">
        <v>234</v>
      </c>
      <c r="D22" s="270"/>
      <c r="E22" s="186"/>
      <c r="F22" s="166">
        <v>1</v>
      </c>
      <c r="G22" s="137" t="s">
        <v>101</v>
      </c>
      <c r="I22" s="131">
        <f t="shared" si="0"/>
        <v>1</v>
      </c>
      <c r="J22" s="131">
        <f t="shared" si="1"/>
        <v>0</v>
      </c>
      <c r="K22" s="131">
        <f t="shared" si="2"/>
        <v>0</v>
      </c>
      <c r="L22" s="115">
        <v>1</v>
      </c>
    </row>
    <row r="23" spans="1:12" ht="30" customHeight="1" x14ac:dyDescent="0.3">
      <c r="A23" s="259" t="str">
        <f>IF(L23=1,"ASAP-"&amp;TEXT(COUNTIF($L$3:L23, "1"), "0"), "")</f>
        <v>ASAP-19</v>
      </c>
      <c r="B23" s="183" t="s">
        <v>43</v>
      </c>
      <c r="C23" s="164" t="s">
        <v>235</v>
      </c>
      <c r="D23" s="270"/>
      <c r="E23" s="186"/>
      <c r="F23" s="166">
        <v>1</v>
      </c>
      <c r="G23" s="137" t="s">
        <v>101</v>
      </c>
      <c r="I23" s="131">
        <f t="shared" si="0"/>
        <v>1</v>
      </c>
      <c r="J23" s="131">
        <f t="shared" si="1"/>
        <v>0</v>
      </c>
      <c r="K23" s="131">
        <f t="shared" si="2"/>
        <v>0</v>
      </c>
      <c r="L23" s="115">
        <v>1</v>
      </c>
    </row>
    <row r="24" spans="1:12" ht="30" customHeight="1" x14ac:dyDescent="0.3">
      <c r="A24" s="259" t="str">
        <f>IF(L24=1,"ASAP-"&amp;TEXT(COUNTIF($L$3:L24, "1"), "0"), "")</f>
        <v>ASAP-20</v>
      </c>
      <c r="B24" s="183" t="s">
        <v>43</v>
      </c>
      <c r="C24" s="164" t="s">
        <v>236</v>
      </c>
      <c r="D24" s="185"/>
      <c r="E24" s="186"/>
      <c r="F24" s="166">
        <v>1</v>
      </c>
      <c r="G24" s="137" t="s">
        <v>101</v>
      </c>
      <c r="I24" s="131">
        <f t="shared" si="0"/>
        <v>1</v>
      </c>
      <c r="J24" s="131">
        <f t="shared" si="1"/>
        <v>0</v>
      </c>
      <c r="K24" s="131">
        <f t="shared" si="2"/>
        <v>0</v>
      </c>
      <c r="L24" s="115">
        <v>1</v>
      </c>
    </row>
    <row r="25" spans="1:12" ht="30" customHeight="1" x14ac:dyDescent="0.3">
      <c r="A25" s="259" t="str">
        <f>IF(L25=1,"ASAP-"&amp;TEXT(COUNTIF($L$3:L25, "1"), "0"), "")</f>
        <v>ASAP-21</v>
      </c>
      <c r="B25" s="183" t="s">
        <v>43</v>
      </c>
      <c r="C25" s="164" t="s">
        <v>237</v>
      </c>
      <c r="D25" s="185"/>
      <c r="E25" s="186"/>
      <c r="F25" s="166">
        <v>1</v>
      </c>
      <c r="G25" s="137" t="s">
        <v>101</v>
      </c>
      <c r="I25" s="131">
        <f t="shared" si="0"/>
        <v>1</v>
      </c>
      <c r="J25" s="131">
        <f t="shared" si="1"/>
        <v>0</v>
      </c>
      <c r="K25" s="131">
        <f t="shared" si="2"/>
        <v>0</v>
      </c>
      <c r="L25" s="115">
        <v>1</v>
      </c>
    </row>
    <row r="26" spans="1:12" ht="30" customHeight="1" x14ac:dyDescent="0.3">
      <c r="A26" s="259" t="str">
        <f>IF(L26=1,"ASAP-"&amp;TEXT(COUNTIF($L$3:L26, "1"), "0"), "")</f>
        <v>ASAP-22</v>
      </c>
      <c r="B26" s="183" t="s">
        <v>43</v>
      </c>
      <c r="C26" s="164" t="s">
        <v>238</v>
      </c>
      <c r="D26" s="185"/>
      <c r="E26" s="186"/>
      <c r="F26" s="166">
        <v>1</v>
      </c>
      <c r="G26" s="137" t="s">
        <v>101</v>
      </c>
      <c r="I26" s="131">
        <f t="shared" si="0"/>
        <v>1</v>
      </c>
      <c r="J26" s="131">
        <f t="shared" si="1"/>
        <v>0</v>
      </c>
      <c r="K26" s="131">
        <f t="shared" si="2"/>
        <v>0</v>
      </c>
      <c r="L26" s="115">
        <v>1</v>
      </c>
    </row>
    <row r="27" spans="1:12" ht="50.25" customHeight="1" x14ac:dyDescent="0.3">
      <c r="A27" s="259" t="str">
        <f>IF(L27=1,"ASAP-"&amp;TEXT(COUNTIF($L$3:L27, "1"), "0"), "")</f>
        <v>ASAP-23</v>
      </c>
      <c r="B27" s="183" t="s">
        <v>43</v>
      </c>
      <c r="C27" s="164" t="s">
        <v>239</v>
      </c>
      <c r="D27" s="185"/>
      <c r="E27" s="186"/>
      <c r="F27" s="166">
        <v>1</v>
      </c>
      <c r="G27" s="137" t="s">
        <v>101</v>
      </c>
      <c r="I27" s="131">
        <f t="shared" si="0"/>
        <v>1</v>
      </c>
      <c r="J27" s="131">
        <f t="shared" si="1"/>
        <v>0</v>
      </c>
      <c r="K27" s="131">
        <f t="shared" si="2"/>
        <v>0</v>
      </c>
      <c r="L27" s="115">
        <v>1</v>
      </c>
    </row>
    <row r="28" spans="1:12" ht="46.8" x14ac:dyDescent="0.3">
      <c r="A28" s="259" t="str">
        <f>IF(L28=1,"ASAP-"&amp;TEXT(COUNTIF($L$3:L28, "1"), "0"), "")</f>
        <v>ASAP-24</v>
      </c>
      <c r="B28" s="260" t="s">
        <v>43</v>
      </c>
      <c r="C28" s="271" t="s">
        <v>240</v>
      </c>
      <c r="D28" s="192"/>
      <c r="E28" s="172"/>
      <c r="F28" s="173">
        <v>1</v>
      </c>
      <c r="G28" s="176" t="s">
        <v>101</v>
      </c>
      <c r="I28" s="131">
        <f t="shared" si="0"/>
        <v>1</v>
      </c>
      <c r="J28" s="131">
        <f t="shared" si="1"/>
        <v>0</v>
      </c>
      <c r="K28" s="131">
        <f t="shared" si="2"/>
        <v>0</v>
      </c>
      <c r="L28" s="115">
        <v>1</v>
      </c>
    </row>
    <row r="29" spans="1:12" x14ac:dyDescent="0.3">
      <c r="A29" s="126" t="str">
        <f>IF(L29=1,"ASAP-"&amp;TEXT(COUNTIF($L$3:L29, "1"), "0"), "")</f>
        <v/>
      </c>
      <c r="B29" s="126"/>
      <c r="C29" s="243" t="s">
        <v>165</v>
      </c>
      <c r="D29" s="194"/>
      <c r="E29" s="180"/>
      <c r="F29" s="181"/>
      <c r="G29" s="182"/>
    </row>
    <row r="30" spans="1:12" ht="30" customHeight="1" x14ac:dyDescent="0.3">
      <c r="A30" s="259" t="str">
        <f>IF(L30=1,"ASAP-"&amp;TEXT(COUNTIF($L$3:L30, "1"), "0"), "")</f>
        <v>ASAP-25</v>
      </c>
      <c r="B30" s="260" t="s">
        <v>43</v>
      </c>
      <c r="C30" s="274" t="s">
        <v>241</v>
      </c>
      <c r="D30" s="192"/>
      <c r="E30" s="172"/>
      <c r="F30" s="272">
        <v>1</v>
      </c>
      <c r="G30" s="230" t="s">
        <v>101</v>
      </c>
      <c r="I30" s="131">
        <f>IF(NOT(ISBLANK($B30)),VLOOKUP($B30,specdata,2,FALSE()),"")</f>
        <v>1</v>
      </c>
      <c r="J30" s="131">
        <f>VLOOKUP(G30,AvailabilityData,2,FALSE())</f>
        <v>0</v>
      </c>
      <c r="K30" s="131">
        <f>I30*J30</f>
        <v>0</v>
      </c>
      <c r="L30" s="115">
        <v>1</v>
      </c>
    </row>
    <row r="31" spans="1:12" x14ac:dyDescent="0.3">
      <c r="A31" s="126" t="str">
        <f>IF(L31=1,"ASAP-"&amp;TEXT(COUNTIF($L$3:L31, "1"), "0"), "")</f>
        <v/>
      </c>
      <c r="B31" s="126"/>
      <c r="C31" s="243" t="s">
        <v>166</v>
      </c>
      <c r="D31" s="194"/>
      <c r="E31" s="180"/>
      <c r="F31" s="181"/>
      <c r="G31" s="182"/>
    </row>
    <row r="32" spans="1:12" ht="30" customHeight="1" x14ac:dyDescent="0.3">
      <c r="A32" s="259" t="str">
        <f>IF(L32=1,"ASAP-"&amp;TEXT(COUNTIF($L$3:L32, "1"), "0"), "")</f>
        <v>ASAP-26</v>
      </c>
      <c r="B32" s="275" t="s">
        <v>43</v>
      </c>
      <c r="C32" s="190" t="s">
        <v>242</v>
      </c>
      <c r="D32" s="185"/>
      <c r="E32" s="186"/>
      <c r="F32" s="191">
        <v>1</v>
      </c>
      <c r="G32" s="187" t="s">
        <v>101</v>
      </c>
      <c r="I32" s="131">
        <f>IF(NOT(ISBLANK($B32)),VLOOKUP($B32,specdata,2,FALSE()),"")</f>
        <v>1</v>
      </c>
      <c r="J32" s="131">
        <f>VLOOKUP(G32,AvailabilityData,2,FALSE())</f>
        <v>0</v>
      </c>
      <c r="K32" s="131">
        <f>I32*J32</f>
        <v>0</v>
      </c>
      <c r="L32" s="115">
        <v>1</v>
      </c>
    </row>
    <row r="33" spans="1:12" ht="42" customHeight="1" x14ac:dyDescent="0.3">
      <c r="A33" s="259" t="str">
        <f>IF(L33=1,"ASAP-"&amp;TEXT(COUNTIF($L$3:L33, "1"), "0"), "")</f>
        <v>ASAP-27</v>
      </c>
      <c r="B33" s="276" t="s">
        <v>43</v>
      </c>
      <c r="C33" s="273" t="s">
        <v>167</v>
      </c>
      <c r="D33" s="185"/>
      <c r="E33" s="172"/>
      <c r="F33" s="173">
        <v>1</v>
      </c>
      <c r="G33" s="176" t="s">
        <v>101</v>
      </c>
      <c r="I33" s="131">
        <f>IF(NOT(ISBLANK($B33)),VLOOKUP($B33,specdata,2,FALSE()),"")</f>
        <v>1</v>
      </c>
      <c r="J33" s="131">
        <f>VLOOKUP(G33,AvailabilityData,2,FALSE())</f>
        <v>0</v>
      </c>
      <c r="K33" s="131">
        <f>I33*J33</f>
        <v>0</v>
      </c>
      <c r="L33" s="115">
        <v>1</v>
      </c>
    </row>
    <row r="34" spans="1:12" ht="42" customHeight="1" x14ac:dyDescent="0.3">
      <c r="A34" s="259" t="str">
        <f>IF(L34=1,"ASAP-"&amp;TEXT(COUNTIF($L$3:L34, "1"), "0"), "")</f>
        <v>ASAP-28</v>
      </c>
      <c r="B34" s="260" t="s">
        <v>43</v>
      </c>
      <c r="C34" s="273" t="s">
        <v>243</v>
      </c>
      <c r="D34" s="192"/>
      <c r="E34" s="175"/>
      <c r="F34" s="173">
        <v>1</v>
      </c>
      <c r="G34" s="176" t="s">
        <v>101</v>
      </c>
      <c r="I34" s="131">
        <f>IF(NOT(ISBLANK($B34)),VLOOKUP($B34,specdata,2,FALSE()),"")</f>
        <v>1</v>
      </c>
      <c r="J34" s="131">
        <f>VLOOKUP(G34,AvailabilityData,2,FALSE())</f>
        <v>0</v>
      </c>
      <c r="K34" s="131">
        <f>I34*J34</f>
        <v>0</v>
      </c>
      <c r="L34" s="115">
        <v>1</v>
      </c>
    </row>
    <row r="35" spans="1:12" x14ac:dyDescent="0.3">
      <c r="A35" s="126" t="str">
        <f>IF(L35=1,"ASAP-"&amp;TEXT(COUNTIF($L$3:L35, "1"), "0"), "")</f>
        <v/>
      </c>
      <c r="B35" s="277"/>
      <c r="C35" s="243" t="s">
        <v>168</v>
      </c>
      <c r="D35" s="194"/>
      <c r="E35" s="180"/>
      <c r="F35" s="181"/>
      <c r="G35" s="182"/>
    </row>
    <row r="36" spans="1:12" ht="30" customHeight="1" x14ac:dyDescent="0.3">
      <c r="A36" s="259" t="str">
        <f>IF(L36=1,"ASAP-"&amp;TEXT(COUNTIF($L$3:L36, "1"), "0"), "")</f>
        <v>ASAP-29</v>
      </c>
      <c r="B36" s="275" t="s">
        <v>43</v>
      </c>
      <c r="C36" s="278" t="s">
        <v>170</v>
      </c>
      <c r="D36" s="185"/>
      <c r="E36" s="186"/>
      <c r="F36" s="191">
        <v>1</v>
      </c>
      <c r="G36" s="187" t="s">
        <v>101</v>
      </c>
      <c r="I36" s="131">
        <f>IF(NOT(ISBLANK($B36)),VLOOKUP($B36,specdata,2,FALSE()),"")</f>
        <v>1</v>
      </c>
      <c r="J36" s="131">
        <f>VLOOKUP(G36,AvailabilityData,2,FALSE())</f>
        <v>0</v>
      </c>
      <c r="K36" s="131">
        <f>I36*J36</f>
        <v>0</v>
      </c>
      <c r="L36" s="115">
        <v>1</v>
      </c>
    </row>
    <row r="37" spans="1:12" ht="30" customHeight="1" x14ac:dyDescent="0.3">
      <c r="A37" s="259" t="str">
        <f>IF(L37=1,"ASAP-"&amp;TEXT(COUNTIF($L$3:L37, "1"), "0"), "")</f>
        <v>ASAP-30</v>
      </c>
      <c r="B37" s="279" t="s">
        <v>43</v>
      </c>
      <c r="C37" s="154" t="s">
        <v>171</v>
      </c>
      <c r="D37" s="185"/>
      <c r="E37" s="186"/>
      <c r="F37" s="166">
        <v>1</v>
      </c>
      <c r="G37" s="137" t="s">
        <v>101</v>
      </c>
      <c r="I37" s="131">
        <f>IF(NOT(ISBLANK($B37)),VLOOKUP($B37,specdata,2,FALSE()),"")</f>
        <v>1</v>
      </c>
      <c r="J37" s="131">
        <f>VLOOKUP(G37,AvailabilityData,2,FALSE())</f>
        <v>0</v>
      </c>
      <c r="K37" s="131">
        <f>I37*J37</f>
        <v>0</v>
      </c>
      <c r="L37" s="115">
        <v>1</v>
      </c>
    </row>
    <row r="38" spans="1:12" ht="30" customHeight="1" x14ac:dyDescent="0.3">
      <c r="A38" s="259" t="str">
        <f>IF(L38=1,"ASAP-"&amp;TEXT(COUNTIF($L$3:L38, "1"), "0"), "")</f>
        <v>ASAP-31</v>
      </c>
      <c r="B38" s="279" t="s">
        <v>43</v>
      </c>
      <c r="C38" s="154" t="s">
        <v>172</v>
      </c>
      <c r="D38" s="185"/>
      <c r="E38" s="186"/>
      <c r="F38" s="166">
        <v>1</v>
      </c>
      <c r="G38" s="137" t="s">
        <v>101</v>
      </c>
      <c r="I38" s="131">
        <f>IF(NOT(ISBLANK($B38)),VLOOKUP($B38,specdata,2,FALSE()),"")</f>
        <v>1</v>
      </c>
      <c r="J38" s="131">
        <f>VLOOKUP(G38,AvailabilityData,2,FALSE())</f>
        <v>0</v>
      </c>
      <c r="K38" s="131">
        <f>I38*J38</f>
        <v>0</v>
      </c>
      <c r="L38" s="115">
        <v>1</v>
      </c>
    </row>
    <row r="39" spans="1:12" ht="30" customHeight="1" x14ac:dyDescent="0.3">
      <c r="A39" s="259" t="str">
        <f>IF(L39=1,"ASAP-"&amp;TEXT(COUNTIF($L$3:L39, "1"), "0"), "")</f>
        <v>ASAP-32</v>
      </c>
      <c r="B39" s="276" t="s">
        <v>43</v>
      </c>
      <c r="C39" s="273" t="s">
        <v>173</v>
      </c>
      <c r="D39" s="192"/>
      <c r="E39" s="172"/>
      <c r="F39" s="173">
        <v>1</v>
      </c>
      <c r="G39" s="176" t="s">
        <v>101</v>
      </c>
      <c r="I39" s="131">
        <f>IF(NOT(ISBLANK($B39)),VLOOKUP($B39,specdata,2,FALSE()),"")</f>
        <v>1</v>
      </c>
      <c r="J39" s="131">
        <f>VLOOKUP(G39,AvailabilityData,2,FALSE())</f>
        <v>0</v>
      </c>
      <c r="K39" s="131">
        <f>I39*J39</f>
        <v>0</v>
      </c>
      <c r="L39" s="115">
        <v>1</v>
      </c>
    </row>
    <row r="40" spans="1:12" x14ac:dyDescent="0.3">
      <c r="A40" s="126" t="str">
        <f>IF(L40=1,"ASAP-"&amp;TEXT(COUNTIF($L$3:L40, "1"), "0"), "")</f>
        <v/>
      </c>
      <c r="B40" s="277"/>
      <c r="C40" s="243" t="s">
        <v>174</v>
      </c>
      <c r="D40" s="194"/>
      <c r="E40" s="180"/>
      <c r="F40" s="181"/>
      <c r="G40" s="182"/>
    </row>
    <row r="41" spans="1:12" ht="30" customHeight="1" x14ac:dyDescent="0.3">
      <c r="A41" s="259" t="str">
        <f>IF(L41=1,"ASAP-"&amp;TEXT(COUNTIF($L$3:L41, "1"), "0"), "")</f>
        <v>ASAP-33</v>
      </c>
      <c r="B41" s="275" t="s">
        <v>43</v>
      </c>
      <c r="C41" s="269" t="s">
        <v>244</v>
      </c>
      <c r="D41" s="185"/>
      <c r="E41" s="186"/>
      <c r="F41" s="191">
        <v>1</v>
      </c>
      <c r="G41" s="187" t="s">
        <v>101</v>
      </c>
      <c r="I41" s="131">
        <f>IF(NOT(ISBLANK($B41)),VLOOKUP($B41,specdata,2,FALSE()),"")</f>
        <v>1</v>
      </c>
      <c r="J41" s="131">
        <f>VLOOKUP(G41,AvailabilityData,2,FALSE())</f>
        <v>0</v>
      </c>
      <c r="K41" s="131">
        <f>I41*J41</f>
        <v>0</v>
      </c>
      <c r="L41" s="115">
        <v>1</v>
      </c>
    </row>
    <row r="42" spans="1:12" ht="64.5" customHeight="1" x14ac:dyDescent="0.3">
      <c r="A42" s="259" t="str">
        <f>IF(L42=1,"ASAP-"&amp;TEXT(COUNTIF($L$3:L42, "1"), "0"), "")</f>
        <v>ASAP-34</v>
      </c>
      <c r="B42" s="279" t="s">
        <v>43</v>
      </c>
      <c r="C42" s="134" t="s">
        <v>176</v>
      </c>
      <c r="D42" s="185"/>
      <c r="E42" s="186"/>
      <c r="F42" s="166">
        <v>1</v>
      </c>
      <c r="G42" s="137" t="s">
        <v>101</v>
      </c>
      <c r="I42" s="131">
        <f>IF(NOT(ISBLANK($B42)),VLOOKUP($B42,specdata,2,FALSE()),"")</f>
        <v>1</v>
      </c>
      <c r="J42" s="131">
        <f>VLOOKUP(G42,AvailabilityData,2,FALSE())</f>
        <v>0</v>
      </c>
      <c r="K42" s="131">
        <f>I42*J42</f>
        <v>0</v>
      </c>
      <c r="L42" s="115">
        <v>1</v>
      </c>
    </row>
    <row r="43" spans="1:12" ht="30" customHeight="1" x14ac:dyDescent="0.3">
      <c r="A43" s="259" t="str">
        <f>IF(L43=1,"ASAP-"&amp;TEXT(COUNTIF($L$3:L43, "1"), "0"), "")</f>
        <v>ASAP-35</v>
      </c>
      <c r="B43" s="279" t="s">
        <v>43</v>
      </c>
      <c r="C43" s="134" t="s">
        <v>245</v>
      </c>
      <c r="D43" s="185"/>
      <c r="E43" s="186"/>
      <c r="F43" s="166">
        <v>1</v>
      </c>
      <c r="G43" s="137" t="s">
        <v>101</v>
      </c>
      <c r="I43" s="131">
        <f>IF(NOT(ISBLANK($B43)),VLOOKUP($B43,specdata,2,FALSE()),"")</f>
        <v>1</v>
      </c>
      <c r="J43" s="131">
        <f>VLOOKUP(G43,AvailabilityData,2,FALSE())</f>
        <v>0</v>
      </c>
      <c r="K43" s="131">
        <f>I43*J43</f>
        <v>0</v>
      </c>
      <c r="L43" s="115">
        <v>1</v>
      </c>
    </row>
  </sheetData>
  <mergeCells count="1">
    <mergeCell ref="N3:P6"/>
  </mergeCells>
  <conditionalFormatting sqref="A6">
    <cfRule type="cellIs" dxfId="320" priority="22" operator="equal">
      <formula>"Informational"</formula>
    </cfRule>
    <cfRule type="cellIs" dxfId="319" priority="23" operator="equal">
      <formula>"Not Needed"</formula>
    </cfRule>
    <cfRule type="cellIs" dxfId="318" priority="24" operator="equal">
      <formula>"Critical"</formula>
    </cfRule>
    <cfRule type="cellIs" dxfId="317" priority="25" operator="equal">
      <formula>"Extremely Advantageous"</formula>
    </cfRule>
  </conditionalFormatting>
  <conditionalFormatting sqref="A9">
    <cfRule type="cellIs" dxfId="316" priority="18" operator="equal">
      <formula>"Informational"</formula>
    </cfRule>
    <cfRule type="cellIs" dxfId="315" priority="19" operator="equal">
      <formula>"Not Needed"</formula>
    </cfRule>
    <cfRule type="cellIs" dxfId="314" priority="20" operator="equal">
      <formula>"Critical"</formula>
    </cfRule>
    <cfRule type="cellIs" dxfId="313" priority="21" operator="equal">
      <formula>"Extremely Advantageous"</formula>
    </cfRule>
  </conditionalFormatting>
  <conditionalFormatting sqref="A29">
    <cfRule type="cellIs" dxfId="312" priority="14" operator="equal">
      <formula>"Informational"</formula>
    </cfRule>
    <cfRule type="cellIs" dxfId="311" priority="15" operator="equal">
      <formula>"Not Needed"</formula>
    </cfRule>
    <cfRule type="cellIs" dxfId="310" priority="16" operator="equal">
      <formula>"Critical"</formula>
    </cfRule>
    <cfRule type="cellIs" dxfId="309" priority="17" operator="equal">
      <formula>"Extremely Advantageous"</formula>
    </cfRule>
  </conditionalFormatting>
  <conditionalFormatting sqref="A31">
    <cfRule type="cellIs" dxfId="308" priority="10" operator="equal">
      <formula>"Informational"</formula>
    </cfRule>
    <cfRule type="cellIs" dxfId="307" priority="11" operator="equal">
      <formula>"Not Needed"</formula>
    </cfRule>
    <cfRule type="cellIs" dxfId="306" priority="12" operator="equal">
      <formula>"Critical"</formula>
    </cfRule>
    <cfRule type="cellIs" dxfId="305" priority="13" operator="equal">
      <formula>"Extremely Advantageous"</formula>
    </cfRule>
  </conditionalFormatting>
  <conditionalFormatting sqref="A35">
    <cfRule type="cellIs" dxfId="304" priority="6" operator="equal">
      <formula>"Informational"</formula>
    </cfRule>
    <cfRule type="cellIs" dxfId="303" priority="7" operator="equal">
      <formula>"Not Needed"</formula>
    </cfRule>
    <cfRule type="cellIs" dxfId="302" priority="8" operator="equal">
      <formula>"Critical"</formula>
    </cfRule>
    <cfRule type="cellIs" dxfId="301" priority="9" operator="equal">
      <formula>"Extremely Advantageous"</formula>
    </cfRule>
  </conditionalFormatting>
  <conditionalFormatting sqref="A40">
    <cfRule type="cellIs" dxfId="300" priority="2" operator="equal">
      <formula>"Informational"</formula>
    </cfRule>
    <cfRule type="cellIs" dxfId="299" priority="3" operator="equal">
      <formula>"Not Needed"</formula>
    </cfRule>
    <cfRule type="cellIs" dxfId="298" priority="4" operator="equal">
      <formula>"Critical"</formula>
    </cfRule>
    <cfRule type="cellIs" dxfId="297" priority="5" operator="equal">
      <formula>"Extremely Advantageous"</formula>
    </cfRule>
  </conditionalFormatting>
  <conditionalFormatting sqref="B1:B1048576">
    <cfRule type="cellIs" dxfId="296" priority="26" operator="equal">
      <formula>"Informational"</formula>
    </cfRule>
    <cfRule type="cellIs" dxfId="295" priority="27" operator="equal">
      <formula>"Not Needed"</formula>
    </cfRule>
    <cfRule type="cellIs" dxfId="294" priority="28" operator="equal">
      <formula>"Critical"</formula>
    </cfRule>
    <cfRule type="cellIs" dxfId="293" priority="29" operator="equal">
      <formula>"Extremely Advantageous"</formula>
    </cfRule>
  </conditionalFormatting>
  <conditionalFormatting sqref="G1:G1048576">
    <cfRule type="cellIs" dxfId="292" priority="30" operator="equal">
      <formula>"Exception"</formula>
    </cfRule>
  </conditionalFormatting>
  <conditionalFormatting sqref="G3:G43">
    <cfRule type="cellIs" dxfId="291" priority="31"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43" xr:uid="{00000000-0002-0000-0900-000000000000}">
      <formula1>SpecType</formula1>
      <formula2>0</formula2>
    </dataValidation>
    <dataValidation type="list" allowBlank="1" showInputMessage="1" showErrorMessage="1" sqref="G3:G43" xr:uid="{00000000-0002-0000-0900-000001000000}">
      <formula1>Availability</formula1>
      <formula2>0</formula2>
    </dataValidation>
  </dataValidations>
  <pageMargins left="0.25" right="0.25" top="0.75" bottom="0.75" header="0.3" footer="0.3"/>
  <pageSetup fitToHeight="0" orientation="landscape" horizontalDpi="300" verticalDpi="300"/>
  <headerFooter>
    <oddHeader>&amp;C&amp;"Arial,Bold"City of Winchester, VA
Interface Functional Requirements&amp;R&amp;"Arial,Bold"&amp;A</oddHeader>
    <oddFooter>&amp;L&amp;"Arial,Bold"&amp;10Federal Engineering, June 2024 ©&amp;R&amp;"Arial,Bold"&amp;10&amp;P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Q48"/>
  <sheetViews>
    <sheetView zoomScaleNormal="100" zoomScalePageLayoutView="80" workbookViewId="0">
      <selection activeCell="P7" sqref="P7"/>
    </sheetView>
  </sheetViews>
  <sheetFormatPr defaultColWidth="9" defaultRowHeight="15.6" x14ac:dyDescent="0.3"/>
  <cols>
    <col min="1" max="1" width="10.59765625" style="233" customWidth="1"/>
    <col min="2" max="2" width="14.59765625" style="265" customWidth="1"/>
    <col min="3" max="3" width="65.59765625" style="233" customWidth="1"/>
    <col min="4" max="4" width="65.59765625" style="115" customWidth="1"/>
    <col min="5" max="5" width="10.59765625" style="115" hidden="1" customWidth="1"/>
    <col min="6" max="6" width="6.59765625" style="115" hidden="1" customWidth="1"/>
    <col min="7" max="7" width="30.59765625" style="115" customWidth="1"/>
    <col min="8" max="11" width="8.59765625" style="116" hidden="1" customWidth="1"/>
    <col min="12" max="12" width="0" style="115" hidden="1" customWidth="1"/>
    <col min="13" max="16384" width="9" style="115"/>
  </cols>
  <sheetData>
    <row r="1" spans="1:17" s="124" customFormat="1" ht="105" customHeight="1" thickBot="1" x14ac:dyDescent="0.3">
      <c r="A1" s="119" t="s">
        <v>102</v>
      </c>
      <c r="B1" s="119" t="s">
        <v>103</v>
      </c>
      <c r="C1" s="119" t="str">
        <f>'Support Data'!A18</f>
        <v>Specifications</v>
      </c>
      <c r="D1" s="120" t="str">
        <f>'Support Data'!$A$19</f>
        <v>Contractor Work Area</v>
      </c>
      <c r="E1" s="120" t="str">
        <f>'Support Data'!A20</f>
        <v>Def ID</v>
      </c>
      <c r="F1" s="121" t="s">
        <v>78</v>
      </c>
      <c r="G1" s="120" t="str">
        <f>'Support Data'!A22</f>
        <v>Availability</v>
      </c>
      <c r="H1" s="123" t="str">
        <f>'Support Data'!A24</f>
        <v>Summary</v>
      </c>
      <c r="I1" s="123" t="str">
        <f>'Support Data'!A25</f>
        <v>Spec Weight</v>
      </c>
      <c r="J1" s="123" t="str">
        <f>'Support Data'!A26</f>
        <v>Avail Weight</v>
      </c>
      <c r="K1" s="123" t="str">
        <f>'Support Data'!A27</f>
        <v>Score</v>
      </c>
      <c r="L1" s="123" t="s">
        <v>104</v>
      </c>
      <c r="M1" s="838"/>
    </row>
    <row r="2" spans="1:17" x14ac:dyDescent="0.3">
      <c r="A2" s="280" t="s">
        <v>246</v>
      </c>
      <c r="B2" s="267"/>
      <c r="C2" s="281"/>
      <c r="D2" s="282"/>
      <c r="E2" s="283"/>
      <c r="F2" s="283"/>
      <c r="G2" s="840"/>
      <c r="H2" s="131">
        <f>COUNTA(B3:B10)</f>
        <v>8</v>
      </c>
      <c r="K2" s="116">
        <f>SUM(K3:K10)</f>
        <v>0</v>
      </c>
    </row>
    <row r="3" spans="1:17" ht="54" customHeight="1" x14ac:dyDescent="0.3">
      <c r="A3" s="163" t="str">
        <f>IF(L3=1,"AXON-"&amp;TEXT(COUNTIF($L$3:L3, "1"), "0"), "")</f>
        <v>AXON-1</v>
      </c>
      <c r="B3" s="647" t="s">
        <v>45</v>
      </c>
      <c r="C3" s="134" t="s">
        <v>247</v>
      </c>
      <c r="D3" s="150"/>
      <c r="E3" s="168"/>
      <c r="F3" s="166">
        <v>1</v>
      </c>
      <c r="G3" s="187" t="s">
        <v>101</v>
      </c>
      <c r="H3" s="131">
        <f>COUNTIF(G:G,"=Select from Drop Down List")</f>
        <v>8</v>
      </c>
      <c r="I3" s="116">
        <f t="shared" ref="I3:I10" si="0">IF(NOT(ISBLANK($B3)),VLOOKUP($B3,specdata,2,FALSE()),"")</f>
        <v>0</v>
      </c>
      <c r="J3" s="116">
        <f t="shared" ref="J3:J10" si="1">VLOOKUP(G3,AvailabilityData,2,FALSE())</f>
        <v>0</v>
      </c>
      <c r="K3" s="116">
        <f t="shared" ref="K3:K10" si="2">I3*J3</f>
        <v>0</v>
      </c>
      <c r="L3" s="115">
        <v>1</v>
      </c>
      <c r="O3" s="857"/>
      <c r="P3" s="857"/>
      <c r="Q3" s="857"/>
    </row>
    <row r="4" spans="1:17" ht="51.75" customHeight="1" x14ac:dyDescent="0.3">
      <c r="A4" s="163" t="str">
        <f>IF(L4=1,"AXON-"&amp;TEXT(COUNTIF($L$3:L4, "1"), "0"), "")</f>
        <v>AXON-2</v>
      </c>
      <c r="B4" s="647" t="s">
        <v>45</v>
      </c>
      <c r="C4" s="134" t="s">
        <v>248</v>
      </c>
      <c r="D4" s="150"/>
      <c r="E4" s="168"/>
      <c r="F4" s="166">
        <v>1</v>
      </c>
      <c r="G4" s="137" t="s">
        <v>101</v>
      </c>
      <c r="H4" s="131">
        <f>COUNTIF(G:G,"=Function Available")</f>
        <v>0</v>
      </c>
      <c r="I4" s="116">
        <f t="shared" si="0"/>
        <v>0</v>
      </c>
      <c r="J4" s="116">
        <f t="shared" si="1"/>
        <v>0</v>
      </c>
      <c r="K4" s="116">
        <f t="shared" si="2"/>
        <v>0</v>
      </c>
      <c r="L4" s="115">
        <v>1</v>
      </c>
      <c r="O4" s="857"/>
      <c r="P4" s="857"/>
      <c r="Q4" s="857"/>
    </row>
    <row r="5" spans="1:17" ht="58.5" customHeight="1" x14ac:dyDescent="0.3">
      <c r="A5" s="163" t="str">
        <f>IF(L5=1,"AXON-"&amp;TEXT(COUNTIF($L$3:L5, "1"), "0"), "")</f>
        <v>AXON-3</v>
      </c>
      <c r="B5" s="647" t="s">
        <v>45</v>
      </c>
      <c r="C5" s="134" t="s">
        <v>249</v>
      </c>
      <c r="D5" s="138"/>
      <c r="E5" s="168"/>
      <c r="F5" s="166">
        <v>1</v>
      </c>
      <c r="G5" s="137" t="s">
        <v>101</v>
      </c>
      <c r="H5" s="131">
        <f>COUNTIF(F:G,"=Function Not Available")</f>
        <v>0</v>
      </c>
      <c r="I5" s="116">
        <f t="shared" si="0"/>
        <v>0</v>
      </c>
      <c r="J5" s="116">
        <f t="shared" si="1"/>
        <v>0</v>
      </c>
      <c r="K5" s="116">
        <f t="shared" si="2"/>
        <v>0</v>
      </c>
      <c r="L5" s="115">
        <v>1</v>
      </c>
      <c r="O5" s="857"/>
      <c r="P5" s="857"/>
      <c r="Q5" s="857"/>
    </row>
    <row r="6" spans="1:17" ht="30" customHeight="1" x14ac:dyDescent="0.3">
      <c r="A6" s="163" t="str">
        <f>IF(L6=1,"AXON-"&amp;TEXT(COUNTIF($L$3:L6, "1"), "0"), "")</f>
        <v>AXON-4</v>
      </c>
      <c r="B6" s="647" t="s">
        <v>45</v>
      </c>
      <c r="C6" s="134" t="s">
        <v>250</v>
      </c>
      <c r="D6" s="138"/>
      <c r="E6" s="168"/>
      <c r="F6" s="166">
        <v>1</v>
      </c>
      <c r="G6" s="137" t="s">
        <v>101</v>
      </c>
      <c r="H6" s="131">
        <f>COUNTIF(G:G,"=Exception")</f>
        <v>0</v>
      </c>
      <c r="I6" s="116">
        <f t="shared" si="0"/>
        <v>0</v>
      </c>
      <c r="J6" s="116">
        <f t="shared" si="1"/>
        <v>0</v>
      </c>
      <c r="K6" s="116">
        <f t="shared" si="2"/>
        <v>0</v>
      </c>
      <c r="L6" s="115">
        <v>1</v>
      </c>
      <c r="O6" s="857"/>
      <c r="P6" s="857"/>
      <c r="Q6" s="857"/>
    </row>
    <row r="7" spans="1:17" ht="46.5" customHeight="1" x14ac:dyDescent="0.3">
      <c r="A7" s="163" t="str">
        <f>IF(L7=1,"AXON-"&amp;TEXT(COUNTIF($L$3:L7, "1"), "0"), "")</f>
        <v>AXON-5</v>
      </c>
      <c r="B7" s="643" t="s">
        <v>45</v>
      </c>
      <c r="C7" s="134" t="s">
        <v>251</v>
      </c>
      <c r="D7" s="138"/>
      <c r="E7" s="168"/>
      <c r="F7" s="166">
        <v>1</v>
      </c>
      <c r="G7" s="137" t="s">
        <v>101</v>
      </c>
      <c r="H7" s="140">
        <f>COUNTIFS(B:B,"=Critical",G:G,"=Select from Drop Down List")</f>
        <v>0</v>
      </c>
      <c r="I7" s="116">
        <f t="shared" si="0"/>
        <v>0</v>
      </c>
      <c r="J7" s="116">
        <f t="shared" si="1"/>
        <v>0</v>
      </c>
      <c r="K7" s="116">
        <f t="shared" si="2"/>
        <v>0</v>
      </c>
      <c r="L7" s="115">
        <v>1</v>
      </c>
    </row>
    <row r="8" spans="1:17" ht="46.5" customHeight="1" x14ac:dyDescent="0.3">
      <c r="A8" s="163" t="str">
        <f>IF(L8=1,"AXON-"&amp;TEXT(COUNTIF($L$3:L8, "1"), "0"), "")</f>
        <v>AXON-6</v>
      </c>
      <c r="B8" s="648" t="s">
        <v>45</v>
      </c>
      <c r="C8" s="645" t="s">
        <v>252</v>
      </c>
      <c r="D8" s="646"/>
      <c r="E8" s="168"/>
      <c r="F8" s="166">
        <v>1</v>
      </c>
      <c r="G8" s="137" t="s">
        <v>101</v>
      </c>
      <c r="H8" s="140">
        <f>COUNTIFS(B:B,"=Critical",G:G,"=Function Available")</f>
        <v>0</v>
      </c>
      <c r="I8" s="116">
        <f t="shared" si="0"/>
        <v>0</v>
      </c>
      <c r="J8" s="116">
        <f t="shared" si="1"/>
        <v>0</v>
      </c>
      <c r="K8" s="116">
        <f t="shared" si="2"/>
        <v>0</v>
      </c>
      <c r="L8" s="115">
        <v>1</v>
      </c>
    </row>
    <row r="9" spans="1:17" ht="62.4" x14ac:dyDescent="0.3">
      <c r="A9" s="163" t="str">
        <f>IF(L9=1,"AXON-"&amp;TEXT(COUNTIF($L$3:L9, "1"), "0"), "")</f>
        <v>AXON-7</v>
      </c>
      <c r="B9" s="133" t="s">
        <v>43</v>
      </c>
      <c r="C9" s="134" t="s">
        <v>253</v>
      </c>
      <c r="D9" s="138"/>
      <c r="E9" s="168"/>
      <c r="F9" s="166">
        <v>1</v>
      </c>
      <c r="G9" s="137" t="s">
        <v>101</v>
      </c>
      <c r="H9" s="140">
        <f>COUNTIFS(B:B,"=Critical",G:G,"=Function Not Available")</f>
        <v>0</v>
      </c>
      <c r="I9" s="116">
        <f t="shared" si="0"/>
        <v>1</v>
      </c>
      <c r="J9" s="116">
        <f t="shared" si="1"/>
        <v>0</v>
      </c>
      <c r="K9" s="116">
        <f t="shared" si="2"/>
        <v>0</v>
      </c>
      <c r="L9" s="115">
        <v>1</v>
      </c>
    </row>
    <row r="10" spans="1:17" ht="69.75" customHeight="1" x14ac:dyDescent="0.3">
      <c r="A10" s="163" t="str">
        <f>IF(L10=1,"AXON-"&amp;TEXT(COUNTIF($L$3:L10, "1"), "0"), "")</f>
        <v>AXON-8</v>
      </c>
      <c r="B10" s="643" t="s">
        <v>45</v>
      </c>
      <c r="C10" s="134" t="s">
        <v>254</v>
      </c>
      <c r="D10" s="138"/>
      <c r="E10" s="168"/>
      <c r="F10" s="173">
        <v>1</v>
      </c>
      <c r="G10" s="137" t="s">
        <v>101</v>
      </c>
      <c r="H10" s="140">
        <f>COUNTIFS(B:B,"=Critical",G:G,"=Exception")</f>
        <v>0</v>
      </c>
      <c r="I10" s="116">
        <f t="shared" si="0"/>
        <v>0</v>
      </c>
      <c r="J10" s="116">
        <f t="shared" si="1"/>
        <v>0</v>
      </c>
      <c r="K10" s="116">
        <f t="shared" si="2"/>
        <v>0</v>
      </c>
      <c r="L10" s="115">
        <v>1</v>
      </c>
    </row>
    <row r="11" spans="1:17" ht="30" customHeight="1" x14ac:dyDescent="0.3">
      <c r="H11" s="146">
        <f>COUNTIFS(B:B,"=Important",G:G,"=Select from Drop Down List")</f>
        <v>1</v>
      </c>
    </row>
    <row r="12" spans="1:17" ht="30" customHeight="1" x14ac:dyDescent="0.3">
      <c r="H12" s="146">
        <f>COUNTIFS(B:B,"=Important",G:G,"=Function Available")</f>
        <v>0</v>
      </c>
    </row>
    <row r="13" spans="1:17" ht="30" customHeight="1" x14ac:dyDescent="0.3">
      <c r="H13" s="146">
        <f>COUNTIFS(B:B,"=Important",G:G,"=Function Not Available")</f>
        <v>0</v>
      </c>
    </row>
    <row r="14" spans="1:17" ht="30" customHeight="1" x14ac:dyDescent="0.3">
      <c r="H14" s="146">
        <f>COUNTIFS(B:B,"=Important",G:G,"=Exception")</f>
        <v>0</v>
      </c>
    </row>
    <row r="15" spans="1:17" ht="30" customHeight="1" x14ac:dyDescent="0.3">
      <c r="H15" s="147">
        <f>COUNTIFS(B:B,"=Informational",G:G,"=Select from Drop Down List")</f>
        <v>7</v>
      </c>
    </row>
    <row r="16" spans="1:17" ht="30" customHeight="1" x14ac:dyDescent="0.3">
      <c r="H16" s="147">
        <f>COUNTIFS(B:B,"=Informational",G:G,"=Function Available")</f>
        <v>0</v>
      </c>
    </row>
    <row r="17" spans="8:8" ht="30" customHeight="1" x14ac:dyDescent="0.3">
      <c r="H17" s="147">
        <f>COUNTIFS(B:B,"=Informational",G:G,"=Function Not Available")</f>
        <v>0</v>
      </c>
    </row>
    <row r="18" spans="8:8" ht="30" customHeight="1" x14ac:dyDescent="0.3">
      <c r="H18" s="147">
        <f>COUNTIFS(B:B,"=Informational",G:G,"=Exception")</f>
        <v>0</v>
      </c>
    </row>
    <row r="19" spans="8:8" ht="30" customHeight="1" x14ac:dyDescent="0.3">
      <c r="H19" s="115"/>
    </row>
    <row r="20" spans="8:8" ht="30" customHeight="1" x14ac:dyDescent="0.3">
      <c r="H20" s="115"/>
    </row>
    <row r="21" spans="8:8" ht="30" customHeight="1" x14ac:dyDescent="0.3">
      <c r="H21" s="115"/>
    </row>
    <row r="22" spans="8:8" ht="30" customHeight="1" x14ac:dyDescent="0.3">
      <c r="H22" s="115"/>
    </row>
    <row r="23" spans="8:8" ht="30" customHeight="1" x14ac:dyDescent="0.3">
      <c r="H23" s="115"/>
    </row>
    <row r="24" spans="8:8" ht="30" customHeight="1" x14ac:dyDescent="0.3">
      <c r="H24" s="115"/>
    </row>
    <row r="25" spans="8:8" ht="30" customHeight="1" x14ac:dyDescent="0.3">
      <c r="H25" s="115"/>
    </row>
    <row r="26" spans="8:8" ht="30" customHeight="1" x14ac:dyDescent="0.3">
      <c r="H26" s="115"/>
    </row>
    <row r="27" spans="8:8" ht="30" customHeight="1" x14ac:dyDescent="0.3">
      <c r="H27" s="115"/>
    </row>
    <row r="28" spans="8:8" ht="30" customHeight="1" x14ac:dyDescent="0.3">
      <c r="H28" s="115"/>
    </row>
    <row r="29" spans="8:8" ht="30" customHeight="1" x14ac:dyDescent="0.3"/>
    <row r="30" spans="8:8" ht="30" customHeight="1" x14ac:dyDescent="0.3"/>
    <row r="31" spans="8:8" ht="45" customHeight="1" x14ac:dyDescent="0.3"/>
    <row r="32" spans="8:8"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59.25" customHeight="1" x14ac:dyDescent="0.3"/>
  </sheetData>
  <sheetProtection algorithmName="SHA-512" hashValue="+NdXc/xMYYwBUD/9Kse2VswCKbTrr+Uz2ukxsVntiMmy+GarFFYUcEDKMeFETCKNRb64QUcdNEhOqB8S3UIl9Q==" saltValue="CEKgfhbYiRQ4KlXfRgaZfA==" spinCount="100000" sheet="1" objects="1" scenarios="1"/>
  <mergeCells count="1">
    <mergeCell ref="O3:Q6"/>
  </mergeCells>
  <conditionalFormatting sqref="B1:B1048576">
    <cfRule type="cellIs" dxfId="290" priority="10" operator="equal">
      <formula>"Informational"</formula>
    </cfRule>
    <cfRule type="cellIs" dxfId="289" priority="11" operator="equal">
      <formula>"Not Needed"</formula>
    </cfRule>
    <cfRule type="cellIs" dxfId="288" priority="12" operator="equal">
      <formula>"Critical"</formula>
    </cfRule>
    <cfRule type="cellIs" dxfId="287" priority="13" operator="equal">
      <formula>"Extremely Advantageous"</formula>
    </cfRule>
  </conditionalFormatting>
  <conditionalFormatting sqref="G1:G1048576">
    <cfRule type="cellIs" dxfId="286" priority="18" operator="equal">
      <formula>"Exception"</formula>
    </cfRule>
  </conditionalFormatting>
  <conditionalFormatting sqref="G3:G10">
    <cfRule type="cellIs" dxfId="285" priority="19"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0" xr:uid="{00000000-0002-0000-0A00-000000000000}">
      <formula1>SpecType</formula1>
      <formula2>0</formula2>
    </dataValidation>
    <dataValidation type="list" allowBlank="1" showInputMessage="1" showErrorMessage="1" sqref="G3:G10" xr:uid="{00000000-0002-0000-0A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Interface Functional Requirements&amp;R&amp;"Arial,Bold"&amp;A</oddHeader>
    <oddFooter>&amp;L&amp;"Arial,Bold"&amp;10Federal Engineering, June 2024 ©&amp;R&amp;"Arial,Bold"&amp;10&amp;P of &amp;N</oddFooter>
  </headerFooter>
</worksheet>
</file>

<file path=docProps/app.xml><?xml version="1.0" encoding="utf-8"?>
<Properties xmlns="http://schemas.openxmlformats.org/officeDocument/2006/extended-properties" xmlns:vt="http://schemas.openxmlformats.org/officeDocument/2006/docPropsVTypes">
  <Template/>
  <TotalTime>11</TotalTime>
  <Application>Microsoft Excel</Application>
  <DocSecurity>0</DocSecurity>
  <ScaleCrop>false</ScaleCrop>
  <HeadingPairs>
    <vt:vector size="4" baseType="variant">
      <vt:variant>
        <vt:lpstr>Worksheets</vt:lpstr>
      </vt:variant>
      <vt:variant>
        <vt:i4>46</vt:i4>
      </vt:variant>
      <vt:variant>
        <vt:lpstr>Named Ranges</vt:lpstr>
      </vt:variant>
      <vt:variant>
        <vt:i4>11</vt:i4>
      </vt:variant>
    </vt:vector>
  </HeadingPairs>
  <TitlesOfParts>
    <vt:vector size="57" baseType="lpstr">
      <vt:lpstr>Interface List</vt:lpstr>
      <vt:lpstr>Evaluation Overview</vt:lpstr>
      <vt:lpstr>Support Data</vt:lpstr>
      <vt:lpstr>Instructions</vt:lpstr>
      <vt:lpstr>911 ALI</vt:lpstr>
      <vt:lpstr>Accurint</vt:lpstr>
      <vt:lpstr>Arrest</vt:lpstr>
      <vt:lpstr>ASAP</vt:lpstr>
      <vt:lpstr>AXON</vt:lpstr>
      <vt:lpstr>BEAST</vt:lpstr>
      <vt:lpstr>CAMEO</vt:lpstr>
      <vt:lpstr>BI</vt:lpstr>
      <vt:lpstr>CAD2CAD</vt:lpstr>
      <vt:lpstr>CarFax</vt:lpstr>
      <vt:lpstr>Drones</vt:lpstr>
      <vt:lpstr>TREDS Crash</vt:lpstr>
      <vt:lpstr>Crash</vt:lpstr>
      <vt:lpstr>CryWolf</vt:lpstr>
      <vt:lpstr>Esri</vt:lpstr>
      <vt:lpstr>eCitation DMV </vt:lpstr>
      <vt:lpstr>eCitation Import</vt:lpstr>
      <vt:lpstr>EMD</vt:lpstr>
      <vt:lpstr>ePCR</vt:lpstr>
      <vt:lpstr>FRMS Export</vt:lpstr>
      <vt:lpstr>FRMS Import</vt:lpstr>
      <vt:lpstr>LiNX</vt:lpstr>
      <vt:lpstr>Livescan</vt:lpstr>
      <vt:lpstr>NDEx</vt:lpstr>
      <vt:lpstr>NG911</vt:lpstr>
      <vt:lpstr>NIBRS</vt:lpstr>
      <vt:lpstr>OffenderWatch Export</vt:lpstr>
      <vt:lpstr>OffenderWatch Query</vt:lpstr>
      <vt:lpstr>OnBase Export</vt:lpstr>
      <vt:lpstr>Paging</vt:lpstr>
      <vt:lpstr>Pictometry</vt:lpstr>
      <vt:lpstr>Prosecutor</vt:lpstr>
      <vt:lpstr>PulsePoint</vt:lpstr>
      <vt:lpstr>Radio Console</vt:lpstr>
      <vt:lpstr>Radio GPS</vt:lpstr>
      <vt:lpstr>RapidSOS</vt:lpstr>
      <vt:lpstr>Rip Run</vt:lpstr>
      <vt:lpstr>Smart911</vt:lpstr>
      <vt:lpstr>Traffic</vt:lpstr>
      <vt:lpstr>VCIN</vt:lpstr>
      <vt:lpstr>Removed</vt:lpstr>
      <vt:lpstr>Template radio buttons</vt:lpstr>
      <vt:lpstr>Drones!Availability</vt:lpstr>
      <vt:lpstr>Availability</vt:lpstr>
      <vt:lpstr>Drones!Availability1</vt:lpstr>
      <vt:lpstr>Availability1</vt:lpstr>
      <vt:lpstr>Drones!AvailabilityData</vt:lpstr>
      <vt:lpstr>AvailabilityData</vt:lpstr>
      <vt:lpstr>Drones!specdata</vt:lpstr>
      <vt:lpstr>specdata</vt:lpstr>
      <vt:lpstr>Drones!SpecType</vt:lpstr>
      <vt:lpstr>SpecType</vt:lpstr>
      <vt:lpstr>Yes_No</vt:lpstr>
    </vt:vector>
  </TitlesOfParts>
  <Company>IS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 Mesaros</dc:creator>
  <dc:description/>
  <cp:lastModifiedBy>Donald Doepke</cp:lastModifiedBy>
  <cp:revision>6</cp:revision>
  <dcterms:created xsi:type="dcterms:W3CDTF">2008-06-02T12:59:48Z</dcterms:created>
  <dcterms:modified xsi:type="dcterms:W3CDTF">2026-02-06T16:39:41Z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0x010100FF2A575556DA2D488AA206FBB96EAB14</vt:lpwstr>
  </property>
</Properties>
</file>